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comments1.xml" ContentType="application/vnd.openxmlformats-officedocument.spreadsheetml.comments+xml"/>
  <Override PartName="/xl/pivotTables/pivotTable1.xml" ContentType="application/vnd.openxmlformats-officedocument.spreadsheetml.pivot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821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/Users/harrieboelens/Library/Mobile Documents/com~apple~CloudDocs/Documents/1. Kortonjo/1. VvE Kortonjo/2. Begroting/2027/"/>
    </mc:Choice>
  </mc:AlternateContent>
  <xr:revisionPtr revIDLastSave="0" documentId="13_ncr:1_{0BF34AE4-6015-3347-AF80-C7547A283649}" xr6:coauthVersionLast="47" xr6:coauthVersionMax="47" xr10:uidLastSave="{00000000-0000-0000-0000-000000000000}"/>
  <workbookProtection workbookAlgorithmName="SHA-512" workbookHashValue="W4BSNwDgf8if2pw/7aHFUD8uW7l7CKT+1jjPskoxaQoO049TM0Md5/0igUQW+ZbEKrOQ6rXd3T22zAbFR5pQxw==" workbookSaltValue="eX4SmJ4L5ATVOSpSwf++4g==" workbookSpinCount="100000" lockStructure="1"/>
  <bookViews>
    <workbookView xWindow="0" yWindow="660" windowWidth="35200" windowHeight="23540" activeTab="1" xr2:uid="{4199E216-4FF9-924B-84A5-D1EC83494E76}"/>
  </bookViews>
  <sheets>
    <sheet name="Start" sheetId="1" state="hidden" r:id="rId1"/>
    <sheet name="2027 Begroting posten" sheetId="6" r:id="rId2"/>
    <sheet name="rubriceren nieuw" sheetId="9" state="hidden" r:id="rId3"/>
    <sheet name="Overzicht per jaar" sheetId="10" state="hidden" r:id="rId4"/>
    <sheet name="Eigendomsoverzicht (2)" sheetId="8" state="hidden" r:id="rId5"/>
  </sheets>
  <definedNames>
    <definedName name="_xlnm._FilterDatabase" localSheetId="4" hidden="1">'Eigendomsoverzicht (2)'!$A$2:$M$220</definedName>
    <definedName name="_xlnm.Print_Area" localSheetId="1">'2027 Begroting posten'!$A$1:$Q$104</definedName>
  </definedNames>
  <calcPr calcId="191028"/>
  <pivotCaches>
    <pivotCache cacheId="1" r:id="rId6"/>
  </pivotCaches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117" i="6" l="1"/>
  <c r="F117" i="6" s="1"/>
  <c r="C10" i="10"/>
  <c r="D10" i="10"/>
  <c r="E10" i="10"/>
  <c r="F10" i="10"/>
  <c r="G10" i="10"/>
  <c r="B10" i="10"/>
  <c r="Y73" i="9"/>
  <c r="Y57" i="9"/>
  <c r="Y49" i="9"/>
  <c r="Y40" i="9"/>
  <c r="Y31" i="9"/>
  <c r="Y10" i="9"/>
  <c r="U73" i="9"/>
  <c r="U40" i="9"/>
  <c r="U49" i="9"/>
  <c r="U57" i="9"/>
  <c r="U31" i="9"/>
  <c r="U10" i="9"/>
  <c r="Q73" i="9"/>
  <c r="Q57" i="9"/>
  <c r="Q49" i="9"/>
  <c r="Q40" i="9"/>
  <c r="Q31" i="9"/>
  <c r="Q10" i="9"/>
  <c r="M57" i="9"/>
  <c r="M73" i="9"/>
  <c r="M49" i="9"/>
  <c r="M40" i="9"/>
  <c r="M31" i="9"/>
  <c r="M10" i="9"/>
  <c r="I49" i="9"/>
  <c r="I73" i="9"/>
  <c r="I57" i="9"/>
  <c r="I40" i="9"/>
  <c r="I31" i="9"/>
  <c r="I10" i="9"/>
  <c r="B65" i="9" a="1"/>
  <c r="B72" i="9" a="1"/>
  <c r="B71" i="9" a="1"/>
  <c r="B70" i="9" a="1"/>
  <c r="B69" i="9" a="1"/>
  <c r="B67" i="9" a="1"/>
  <c r="B66" i="9" a="1"/>
  <c r="B64" i="9" a="1"/>
  <c r="B63" i="9" a="1"/>
  <c r="B62" i="9" a="1"/>
  <c r="B60" i="9" a="1"/>
  <c r="B56" i="9" a="1"/>
  <c r="B55" i="9" a="1"/>
  <c r="B54" i="9" a="1"/>
  <c r="B48" i="9" a="1"/>
  <c r="B46" i="9" a="1"/>
  <c r="B34" i="9" a="1"/>
  <c r="B43" i="9" a="1"/>
  <c r="B13" i="9" a="1"/>
  <c r="B7" i="9" a="1"/>
  <c r="B6" i="9" a="1"/>
  <c r="B5" i="9" a="1"/>
  <c r="B4" i="9" a="1"/>
  <c r="Q50" i="9" l="1"/>
  <c r="R10" i="9" s="1"/>
  <c r="Y50" i="9"/>
  <c r="U50" i="9"/>
  <c r="Q75" i="9"/>
  <c r="S50" i="9" s="1"/>
  <c r="R43" i="9"/>
  <c r="R49" i="9"/>
  <c r="M50" i="9"/>
  <c r="I50" i="9"/>
  <c r="C73" i="9"/>
  <c r="C31" i="9"/>
  <c r="C57" i="9"/>
  <c r="C49" i="9"/>
  <c r="C40" i="9"/>
  <c r="C10" i="9"/>
  <c r="C50" i="9" s="1"/>
  <c r="R80" i="6"/>
  <c r="R79" i="6"/>
  <c r="R78" i="6"/>
  <c r="AA78" i="6"/>
  <c r="R64" i="6"/>
  <c r="R65" i="6"/>
  <c r="R66" i="6"/>
  <c r="R67" i="6"/>
  <c r="R68" i="6"/>
  <c r="R69" i="6"/>
  <c r="R63" i="6"/>
  <c r="R52" i="6"/>
  <c r="R53" i="6"/>
  <c r="R54" i="6"/>
  <c r="R55" i="6"/>
  <c r="R56" i="6"/>
  <c r="R57" i="6"/>
  <c r="R58" i="6"/>
  <c r="R51" i="6"/>
  <c r="R5" i="6"/>
  <c r="R6" i="6"/>
  <c r="R7" i="6"/>
  <c r="R8" i="6"/>
  <c r="R9" i="6"/>
  <c r="R10" i="6"/>
  <c r="R11" i="6"/>
  <c r="R12" i="6"/>
  <c r="R13" i="6"/>
  <c r="R14" i="6"/>
  <c r="R15" i="6"/>
  <c r="R16" i="6"/>
  <c r="R17" i="6"/>
  <c r="R18" i="6"/>
  <c r="R19" i="6"/>
  <c r="R20" i="6"/>
  <c r="R21" i="6"/>
  <c r="R22" i="6"/>
  <c r="R23" i="6"/>
  <c r="R24" i="6"/>
  <c r="R25" i="6"/>
  <c r="R26" i="6"/>
  <c r="R27" i="6"/>
  <c r="R28" i="6"/>
  <c r="R32" i="6"/>
  <c r="R33" i="6"/>
  <c r="R34" i="6"/>
  <c r="R35" i="6"/>
  <c r="R36" i="6"/>
  <c r="R37" i="6"/>
  <c r="R38" i="6"/>
  <c r="R39" i="6"/>
  <c r="R43" i="6"/>
  <c r="R44" i="6"/>
  <c r="R46" i="6"/>
  <c r="R4" i="6"/>
  <c r="M38" i="1"/>
  <c r="L16" i="1" s="1"/>
  <c r="N16" i="1" s="1"/>
  <c r="N38" i="1"/>
  <c r="L51" i="1"/>
  <c r="C226" i="8"/>
  <c r="C227" i="8" s="1"/>
  <c r="C40" i="6"/>
  <c r="C45" i="6"/>
  <c r="R45" i="6" s="1"/>
  <c r="P16" i="1"/>
  <c r="P17" i="1"/>
  <c r="P18" i="1"/>
  <c r="P19" i="1"/>
  <c r="P20" i="1"/>
  <c r="P21" i="1"/>
  <c r="P22" i="1"/>
  <c r="P15" i="1"/>
  <c r="O23" i="1"/>
  <c r="Q16" i="1"/>
  <c r="S56" i="1"/>
  <c r="T56" i="1"/>
  <c r="V56" i="1"/>
  <c r="S57" i="1"/>
  <c r="T57" i="1"/>
  <c r="V57" i="1" s="1"/>
  <c r="S58" i="1"/>
  <c r="T58" i="1" s="1"/>
  <c r="V58" i="1" s="1"/>
  <c r="S59" i="1"/>
  <c r="T59" i="1"/>
  <c r="V59" i="1" s="1"/>
  <c r="S60" i="1"/>
  <c r="T60" i="1" s="1"/>
  <c r="V60" i="1" s="1"/>
  <c r="S61" i="1"/>
  <c r="T61" i="1" s="1"/>
  <c r="V61" i="1" s="1"/>
  <c r="S55" i="1"/>
  <c r="T55" i="1"/>
  <c r="V55" i="1" s="1"/>
  <c r="U62" i="1"/>
  <c r="L61" i="1"/>
  <c r="M61" i="1"/>
  <c r="L60" i="1"/>
  <c r="M60" i="1"/>
  <c r="L59" i="1"/>
  <c r="M59" i="1" s="1"/>
  <c r="L58" i="1"/>
  <c r="M58" i="1"/>
  <c r="L57" i="1"/>
  <c r="M57" i="1" s="1"/>
  <c r="L56" i="1"/>
  <c r="M56" i="1"/>
  <c r="L55" i="1"/>
  <c r="M55" i="1"/>
  <c r="B92" i="1"/>
  <c r="C92" i="1"/>
  <c r="E92" i="1"/>
  <c r="B90" i="1"/>
  <c r="C90" i="1"/>
  <c r="E90" i="1"/>
  <c r="C89" i="1"/>
  <c r="E89" i="1"/>
  <c r="B89" i="1"/>
  <c r="E91" i="1"/>
  <c r="E88" i="1"/>
  <c r="E87" i="1"/>
  <c r="E86" i="1"/>
  <c r="B91" i="1"/>
  <c r="C91" i="1"/>
  <c r="C88" i="1"/>
  <c r="C87" i="1"/>
  <c r="C86" i="1"/>
  <c r="B87" i="1"/>
  <c r="B88" i="1"/>
  <c r="C61" i="1"/>
  <c r="D61" i="1" s="1"/>
  <c r="C60" i="1"/>
  <c r="D60" i="1" s="1"/>
  <c r="C59" i="1"/>
  <c r="D59" i="1"/>
  <c r="C58" i="1"/>
  <c r="D58" i="1" s="1"/>
  <c r="C57" i="1"/>
  <c r="D57" i="1" s="1"/>
  <c r="C56" i="1"/>
  <c r="D56" i="1" s="1"/>
  <c r="C55" i="1"/>
  <c r="D55" i="1" s="1"/>
  <c r="C228" i="8"/>
  <c r="B16" i="1"/>
  <c r="C16" i="1" s="1"/>
  <c r="D11" i="6" s="1"/>
  <c r="D22" i="1"/>
  <c r="D21" i="1"/>
  <c r="D20" i="1"/>
  <c r="D19" i="1"/>
  <c r="D18" i="1"/>
  <c r="D17" i="1"/>
  <c r="D15" i="1"/>
  <c r="D24" i="1"/>
  <c r="D95" i="6" s="1"/>
  <c r="L3" i="8"/>
  <c r="L4" i="8"/>
  <c r="L5" i="8"/>
  <c r="L6" i="8"/>
  <c r="L7" i="8"/>
  <c r="L8" i="8"/>
  <c r="L9" i="8"/>
  <c r="L10" i="8"/>
  <c r="L11" i="8"/>
  <c r="L12" i="8"/>
  <c r="L13" i="8"/>
  <c r="L14" i="8"/>
  <c r="L15" i="8"/>
  <c r="L16" i="8"/>
  <c r="L17" i="8"/>
  <c r="L18" i="8"/>
  <c r="L19" i="8"/>
  <c r="L20" i="8"/>
  <c r="L21" i="8"/>
  <c r="L22" i="8"/>
  <c r="L23" i="8"/>
  <c r="L24" i="8"/>
  <c r="L25" i="8"/>
  <c r="L26" i="8"/>
  <c r="L27" i="8"/>
  <c r="L28" i="8"/>
  <c r="L29" i="8"/>
  <c r="L30" i="8"/>
  <c r="L31" i="8"/>
  <c r="L32" i="8"/>
  <c r="L33" i="8"/>
  <c r="L34" i="8"/>
  <c r="L35" i="8"/>
  <c r="L36" i="8"/>
  <c r="L37" i="8"/>
  <c r="L38" i="8"/>
  <c r="L39" i="8"/>
  <c r="L40" i="8"/>
  <c r="L41" i="8"/>
  <c r="L42" i="8"/>
  <c r="L43" i="8"/>
  <c r="L44" i="8"/>
  <c r="L45" i="8"/>
  <c r="L46" i="8"/>
  <c r="L47" i="8"/>
  <c r="L48" i="8"/>
  <c r="L49" i="8"/>
  <c r="L50" i="8"/>
  <c r="L51" i="8"/>
  <c r="L52" i="8"/>
  <c r="L53" i="8"/>
  <c r="L54" i="8"/>
  <c r="L55" i="8"/>
  <c r="L56" i="8"/>
  <c r="L57" i="8"/>
  <c r="L58" i="8"/>
  <c r="L59" i="8"/>
  <c r="L60" i="8"/>
  <c r="L61" i="8"/>
  <c r="L62" i="8"/>
  <c r="L63" i="8"/>
  <c r="L64" i="8"/>
  <c r="L65" i="8"/>
  <c r="L66" i="8"/>
  <c r="L67" i="8"/>
  <c r="L68" i="8"/>
  <c r="L69" i="8"/>
  <c r="L70" i="8"/>
  <c r="L71" i="8"/>
  <c r="L72" i="8"/>
  <c r="L73" i="8"/>
  <c r="L74" i="8"/>
  <c r="L75" i="8"/>
  <c r="L76" i="8"/>
  <c r="L77" i="8"/>
  <c r="L78" i="8"/>
  <c r="L79" i="8"/>
  <c r="L80" i="8"/>
  <c r="L81" i="8"/>
  <c r="L82" i="8"/>
  <c r="L83" i="8"/>
  <c r="L84" i="8"/>
  <c r="L85" i="8"/>
  <c r="L86" i="8"/>
  <c r="L87" i="8"/>
  <c r="L88" i="8"/>
  <c r="L89" i="8"/>
  <c r="L90" i="8"/>
  <c r="L91" i="8"/>
  <c r="L92" i="8"/>
  <c r="L93" i="8"/>
  <c r="L94" i="8"/>
  <c r="L95" i="8"/>
  <c r="L96" i="8"/>
  <c r="L97" i="8"/>
  <c r="L98" i="8"/>
  <c r="L99" i="8"/>
  <c r="L100" i="8"/>
  <c r="L101" i="8"/>
  <c r="L102" i="8"/>
  <c r="L103" i="8"/>
  <c r="L104" i="8"/>
  <c r="L105" i="8"/>
  <c r="L106" i="8"/>
  <c r="L107" i="8"/>
  <c r="L108" i="8"/>
  <c r="L109" i="8"/>
  <c r="L110" i="8"/>
  <c r="L111" i="8"/>
  <c r="L112" i="8"/>
  <c r="L113" i="8"/>
  <c r="L114" i="8"/>
  <c r="L115" i="8"/>
  <c r="L116" i="8"/>
  <c r="L117" i="8"/>
  <c r="L118" i="8"/>
  <c r="L119" i="8"/>
  <c r="L120" i="8"/>
  <c r="L121" i="8"/>
  <c r="L122" i="8"/>
  <c r="L123" i="8"/>
  <c r="L124" i="8"/>
  <c r="L125" i="8"/>
  <c r="L126" i="8"/>
  <c r="L127" i="8"/>
  <c r="L128" i="8"/>
  <c r="L129" i="8"/>
  <c r="L130" i="8"/>
  <c r="L131" i="8"/>
  <c r="L132" i="8"/>
  <c r="L133" i="8"/>
  <c r="L134" i="8"/>
  <c r="L135" i="8"/>
  <c r="L136" i="8"/>
  <c r="L137" i="8"/>
  <c r="L138" i="8"/>
  <c r="L139" i="8"/>
  <c r="L140" i="8"/>
  <c r="L141" i="8"/>
  <c r="L142" i="8"/>
  <c r="L143" i="8"/>
  <c r="L144" i="8"/>
  <c r="L145" i="8"/>
  <c r="L146" i="8"/>
  <c r="L147" i="8"/>
  <c r="L148" i="8"/>
  <c r="L149" i="8"/>
  <c r="L150" i="8"/>
  <c r="L151" i="8"/>
  <c r="L152" i="8"/>
  <c r="L153" i="8"/>
  <c r="L154" i="8"/>
  <c r="L155" i="8"/>
  <c r="L156" i="8"/>
  <c r="L157" i="8"/>
  <c r="L158" i="8"/>
  <c r="L159" i="8"/>
  <c r="L160" i="8"/>
  <c r="L161" i="8"/>
  <c r="L162" i="8"/>
  <c r="L163" i="8"/>
  <c r="L164" i="8"/>
  <c r="L165" i="8"/>
  <c r="L166" i="8"/>
  <c r="L167" i="8"/>
  <c r="L168" i="8"/>
  <c r="L169" i="8"/>
  <c r="L170" i="8"/>
  <c r="L171" i="8"/>
  <c r="L172" i="8"/>
  <c r="L173" i="8"/>
  <c r="L174" i="8"/>
  <c r="L175" i="8"/>
  <c r="L176" i="8"/>
  <c r="L177" i="8"/>
  <c r="L178" i="8"/>
  <c r="L179" i="8"/>
  <c r="L180" i="8"/>
  <c r="L181" i="8"/>
  <c r="L182" i="8"/>
  <c r="L183" i="8"/>
  <c r="L184" i="8"/>
  <c r="L185" i="8"/>
  <c r="L186" i="8"/>
  <c r="L187" i="8"/>
  <c r="L188" i="8"/>
  <c r="L189" i="8"/>
  <c r="L190" i="8"/>
  <c r="L191" i="8"/>
  <c r="L192" i="8"/>
  <c r="L193" i="8"/>
  <c r="L194" i="8"/>
  <c r="L195" i="8"/>
  <c r="L196" i="8"/>
  <c r="L197" i="8"/>
  <c r="L198" i="8"/>
  <c r="L199" i="8"/>
  <c r="L200" i="8"/>
  <c r="L201" i="8"/>
  <c r="L202" i="8"/>
  <c r="L203" i="8"/>
  <c r="L204" i="8"/>
  <c r="L205" i="8"/>
  <c r="L206" i="8"/>
  <c r="L207" i="8"/>
  <c r="L208" i="8"/>
  <c r="L209" i="8"/>
  <c r="L210" i="8"/>
  <c r="L211" i="8"/>
  <c r="L212" i="8"/>
  <c r="L213" i="8"/>
  <c r="L214" i="8"/>
  <c r="L215" i="8"/>
  <c r="L216" i="8"/>
  <c r="L217" i="8"/>
  <c r="L218" i="8"/>
  <c r="L219" i="8"/>
  <c r="L220" i="8"/>
  <c r="L2" i="8"/>
  <c r="C21" i="1"/>
  <c r="Q91" i="6" s="1"/>
  <c r="Q34" i="6"/>
  <c r="C20" i="1"/>
  <c r="P91" i="6" s="1"/>
  <c r="C22" i="1"/>
  <c r="N91" i="6" s="1"/>
  <c r="N21" i="6"/>
  <c r="C17" i="1"/>
  <c r="H91" i="6" s="1"/>
  <c r="H20" i="6"/>
  <c r="C18" i="1"/>
  <c r="J91" i="6" s="1"/>
  <c r="C19" i="1"/>
  <c r="C15" i="1"/>
  <c r="F91" i="6" s="1"/>
  <c r="F13" i="6"/>
  <c r="G13" i="6" s="1"/>
  <c r="C70" i="6"/>
  <c r="R70" i="6" s="1"/>
  <c r="C59" i="6"/>
  <c r="R59" i="6" s="1"/>
  <c r="H21" i="6"/>
  <c r="B6" i="1"/>
  <c r="H37" i="6"/>
  <c r="H30" i="6"/>
  <c r="I30" i="6" s="1"/>
  <c r="H43" i="6"/>
  <c r="H14" i="6"/>
  <c r="H31" i="6"/>
  <c r="I31" i="6" s="1"/>
  <c r="H19" i="6"/>
  <c r="H32" i="6"/>
  <c r="L27" i="6"/>
  <c r="L32" i="6"/>
  <c r="L4" i="6"/>
  <c r="L23" i="6"/>
  <c r="L91" i="6" l="1"/>
  <c r="L13" i="6"/>
  <c r="Q7" i="6"/>
  <c r="N7" i="6"/>
  <c r="H7" i="6"/>
  <c r="J7" i="6"/>
  <c r="L7" i="6"/>
  <c r="D91" i="6"/>
  <c r="D109" i="6" s="1"/>
  <c r="R40" i="9"/>
  <c r="R31" i="9"/>
  <c r="C229" i="8"/>
  <c r="Z10" i="9"/>
  <c r="Z31" i="9"/>
  <c r="Z40" i="9"/>
  <c r="Z49" i="9"/>
  <c r="Y75" i="9"/>
  <c r="AA50" i="9" s="1"/>
  <c r="Z43" i="9"/>
  <c r="P5" i="6"/>
  <c r="P7" i="6"/>
  <c r="D31" i="6"/>
  <c r="E31" i="6" s="1"/>
  <c r="D7" i="6"/>
  <c r="D21" i="9"/>
  <c r="E21" i="9" s="1"/>
  <c r="D56" i="9"/>
  <c r="E56" i="9" s="1"/>
  <c r="D14" i="9"/>
  <c r="E14" i="9" s="1"/>
  <c r="D15" i="9"/>
  <c r="E15" i="9" s="1"/>
  <c r="D16" i="9"/>
  <c r="E16" i="9" s="1"/>
  <c r="D17" i="9"/>
  <c r="E17" i="9" s="1"/>
  <c r="D18" i="9"/>
  <c r="E18" i="9" s="1"/>
  <c r="D19" i="9"/>
  <c r="E19" i="9" s="1"/>
  <c r="D20" i="9"/>
  <c r="E20" i="9" s="1"/>
  <c r="D29" i="9"/>
  <c r="E29" i="9" s="1"/>
  <c r="D22" i="9"/>
  <c r="E22" i="9" s="1"/>
  <c r="D8" i="9"/>
  <c r="E8" i="9" s="1"/>
  <c r="D9" i="9"/>
  <c r="E9" i="9" s="1"/>
  <c r="D7" i="9"/>
  <c r="E7" i="9" s="1"/>
  <c r="D6" i="9"/>
  <c r="E6" i="9" s="1"/>
  <c r="D5" i="9"/>
  <c r="E5" i="9" s="1"/>
  <c r="D24" i="9"/>
  <c r="E24" i="9" s="1"/>
  <c r="D27" i="9"/>
  <c r="E27" i="9" s="1"/>
  <c r="D13" i="9"/>
  <c r="E13" i="9" s="1"/>
  <c r="D28" i="9"/>
  <c r="E28" i="9" s="1"/>
  <c r="D25" i="9"/>
  <c r="E25" i="9" s="1"/>
  <c r="D26" i="9"/>
  <c r="E26" i="9" s="1"/>
  <c r="D23" i="9"/>
  <c r="E23" i="9" s="1"/>
  <c r="D43" i="9"/>
  <c r="E43" i="9" s="1"/>
  <c r="F7" i="6"/>
  <c r="G7" i="6" s="1"/>
  <c r="D35" i="9"/>
  <c r="E35" i="9" s="1"/>
  <c r="D37" i="9"/>
  <c r="E37" i="9" s="1"/>
  <c r="D39" i="9"/>
  <c r="E39" i="9" s="1"/>
  <c r="D34" i="9"/>
  <c r="E34" i="9" s="1"/>
  <c r="D38" i="9"/>
  <c r="E38" i="9" s="1"/>
  <c r="D4" i="9"/>
  <c r="E4" i="9" s="1"/>
  <c r="D36" i="9"/>
  <c r="E36" i="9" s="1"/>
  <c r="D54" i="9"/>
  <c r="E54" i="9" s="1"/>
  <c r="D47" i="9"/>
  <c r="E47" i="9" s="1"/>
  <c r="D46" i="9"/>
  <c r="E46" i="9" s="1"/>
  <c r="D48" i="9"/>
  <c r="E48" i="9" s="1"/>
  <c r="D55" i="9"/>
  <c r="E55" i="9" s="1"/>
  <c r="D30" i="9"/>
  <c r="E30" i="9" s="1"/>
  <c r="V43" i="9"/>
  <c r="U75" i="9"/>
  <c r="W50" i="9" s="1"/>
  <c r="V49" i="9"/>
  <c r="V31" i="9"/>
  <c r="V10" i="9"/>
  <c r="S57" i="9"/>
  <c r="S73" i="9"/>
  <c r="M75" i="9"/>
  <c r="N31" i="9"/>
  <c r="N40" i="9"/>
  <c r="N10" i="9"/>
  <c r="N49" i="9"/>
  <c r="N43" i="9"/>
  <c r="O50" i="9"/>
  <c r="I75" i="9"/>
  <c r="K50" i="9" s="1"/>
  <c r="J43" i="9"/>
  <c r="J10" i="9"/>
  <c r="J49" i="9"/>
  <c r="J40" i="9"/>
  <c r="J31" i="9"/>
  <c r="D49" i="9"/>
  <c r="E49" i="9" s="1"/>
  <c r="F49" i="9"/>
  <c r="D31" i="9"/>
  <c r="E31" i="9" s="1"/>
  <c r="D57" i="9"/>
  <c r="E57" i="9" s="1"/>
  <c r="D40" i="9"/>
  <c r="E40" i="9" s="1"/>
  <c r="D10" i="9"/>
  <c r="E10" i="9" s="1"/>
  <c r="P78" i="6"/>
  <c r="J78" i="6"/>
  <c r="K78" i="6" s="1"/>
  <c r="H78" i="6"/>
  <c r="I78" i="6" s="1"/>
  <c r="D78" i="6"/>
  <c r="E78" i="6" s="1"/>
  <c r="N78" i="6"/>
  <c r="O78" i="6" s="1"/>
  <c r="L78" i="6"/>
  <c r="M78" i="6" s="1"/>
  <c r="F78" i="6"/>
  <c r="G78" i="6" s="1"/>
  <c r="Q78" i="6"/>
  <c r="N79" i="6"/>
  <c r="O79" i="6" s="1"/>
  <c r="D79" i="6"/>
  <c r="E79" i="6" s="1"/>
  <c r="L79" i="6"/>
  <c r="M79" i="6" s="1"/>
  <c r="H79" i="6"/>
  <c r="I79" i="6" s="1"/>
  <c r="P79" i="6"/>
  <c r="F79" i="6"/>
  <c r="G79" i="6" s="1"/>
  <c r="J79" i="6"/>
  <c r="K79" i="6" s="1"/>
  <c r="Q79" i="6"/>
  <c r="J80" i="6"/>
  <c r="K80" i="6" s="1"/>
  <c r="D80" i="6"/>
  <c r="E80" i="6" s="1"/>
  <c r="N80" i="6"/>
  <c r="O80" i="6" s="1"/>
  <c r="H80" i="6"/>
  <c r="I80" i="6" s="1"/>
  <c r="L80" i="6"/>
  <c r="M80" i="6" s="1"/>
  <c r="F80" i="6"/>
  <c r="G80" i="6" s="1"/>
  <c r="P80" i="6"/>
  <c r="Q80" i="6"/>
  <c r="U74" i="6"/>
  <c r="R82" i="6"/>
  <c r="T63" i="6"/>
  <c r="T64" i="6"/>
  <c r="T66" i="6"/>
  <c r="T67" i="6"/>
  <c r="T68" i="6"/>
  <c r="T69" i="6"/>
  <c r="T52" i="6"/>
  <c r="T54" i="6"/>
  <c r="T55" i="6"/>
  <c r="T56" i="6"/>
  <c r="T57" i="6"/>
  <c r="T70" i="6"/>
  <c r="T59" i="6"/>
  <c r="R40" i="6"/>
  <c r="V62" i="1"/>
  <c r="Q94" i="6"/>
  <c r="H21" i="1"/>
  <c r="N60" i="1"/>
  <c r="O60" i="1" s="1"/>
  <c r="E60" i="1"/>
  <c r="F60" i="1" s="1"/>
  <c r="P94" i="6"/>
  <c r="H20" i="1"/>
  <c r="D26" i="1"/>
  <c r="E59" i="1"/>
  <c r="F59" i="1" s="1"/>
  <c r="N59" i="1"/>
  <c r="O59" i="1" s="1"/>
  <c r="E58" i="1"/>
  <c r="F58" i="1" s="1"/>
  <c r="N58" i="1"/>
  <c r="O58" i="1" s="1"/>
  <c r="Q35" i="6"/>
  <c r="Q28" i="6"/>
  <c r="Q8" i="6"/>
  <c r="L221" i="8"/>
  <c r="E61" i="1"/>
  <c r="F61" i="1" s="1"/>
  <c r="H22" i="1"/>
  <c r="N22" i="1" s="1"/>
  <c r="N61" i="1"/>
  <c r="O61" i="1" s="1"/>
  <c r="N94" i="6"/>
  <c r="L95" i="6"/>
  <c r="L94" i="6"/>
  <c r="H19" i="1"/>
  <c r="N19" i="1" s="1"/>
  <c r="H18" i="1"/>
  <c r="K18" i="1" s="1"/>
  <c r="N57" i="1"/>
  <c r="O57" i="1" s="1"/>
  <c r="E57" i="1"/>
  <c r="F57" i="1" s="1"/>
  <c r="J94" i="6"/>
  <c r="H17" i="1"/>
  <c r="K17" i="1" s="1"/>
  <c r="E56" i="1"/>
  <c r="F56" i="1" s="1"/>
  <c r="N56" i="1"/>
  <c r="O56" i="1" s="1"/>
  <c r="H94" i="6"/>
  <c r="H15" i="1"/>
  <c r="D23" i="1"/>
  <c r="D25" i="1" s="1"/>
  <c r="N55" i="1"/>
  <c r="E55" i="1"/>
  <c r="F94" i="6"/>
  <c r="F95" i="6" s="1"/>
  <c r="F109" i="6" s="1"/>
  <c r="Q36" i="6"/>
  <c r="Q19" i="6"/>
  <c r="Q29" i="6"/>
  <c r="Q21" i="6"/>
  <c r="Q5" i="6"/>
  <c r="Q4" i="6"/>
  <c r="Q24" i="6"/>
  <c r="Q6" i="6"/>
  <c r="Q89" i="6"/>
  <c r="Q11" i="6"/>
  <c r="Q43" i="6"/>
  <c r="Q18" i="6"/>
  <c r="Q23" i="6"/>
  <c r="Q15" i="6"/>
  <c r="Q31" i="6"/>
  <c r="Q32" i="6"/>
  <c r="Q14" i="6"/>
  <c r="Q17" i="6"/>
  <c r="Q44" i="6"/>
  <c r="Q16" i="6"/>
  <c r="Q33" i="6"/>
  <c r="Q88" i="6"/>
  <c r="Q9" i="6"/>
  <c r="Q30" i="6"/>
  <c r="Q39" i="6"/>
  <c r="Q13" i="6"/>
  <c r="Q38" i="6"/>
  <c r="Q22" i="6"/>
  <c r="Q37" i="6"/>
  <c r="Q26" i="6"/>
  <c r="Q25" i="6"/>
  <c r="Q90" i="6"/>
  <c r="Q10" i="6"/>
  <c r="Q20" i="6"/>
  <c r="Q27" i="6"/>
  <c r="Q12" i="6"/>
  <c r="P90" i="6"/>
  <c r="P19" i="6"/>
  <c r="P34" i="6"/>
  <c r="P17" i="6"/>
  <c r="P15" i="6"/>
  <c r="P10" i="6"/>
  <c r="P14" i="6"/>
  <c r="P24" i="6"/>
  <c r="P23" i="6"/>
  <c r="P29" i="6"/>
  <c r="P26" i="6"/>
  <c r="P44" i="6"/>
  <c r="P36" i="6"/>
  <c r="P31" i="6"/>
  <c r="P6" i="6"/>
  <c r="P4" i="6"/>
  <c r="P12" i="6"/>
  <c r="P9" i="6"/>
  <c r="P20" i="6"/>
  <c r="P18" i="6"/>
  <c r="P27" i="6"/>
  <c r="P22" i="6"/>
  <c r="P38" i="6"/>
  <c r="P39" i="6"/>
  <c r="P35" i="6"/>
  <c r="P11" i="6"/>
  <c r="P28" i="6"/>
  <c r="P16" i="6"/>
  <c r="P33" i="6"/>
  <c r="P8" i="6"/>
  <c r="P88" i="6"/>
  <c r="P13" i="6"/>
  <c r="P89" i="6"/>
  <c r="P30" i="6"/>
  <c r="P25" i="6"/>
  <c r="P21" i="6"/>
  <c r="P43" i="6"/>
  <c r="P37" i="6"/>
  <c r="P32" i="6"/>
  <c r="N89" i="6"/>
  <c r="N12" i="6"/>
  <c r="N4" i="6"/>
  <c r="N28" i="6"/>
  <c r="O28" i="6" s="1"/>
  <c r="N24" i="6"/>
  <c r="N35" i="6"/>
  <c r="N18" i="6"/>
  <c r="N22" i="6"/>
  <c r="N38" i="6"/>
  <c r="N39" i="6"/>
  <c r="N34" i="6"/>
  <c r="N17" i="6"/>
  <c r="N37" i="6"/>
  <c r="N20" i="6"/>
  <c r="N44" i="6"/>
  <c r="N11" i="6"/>
  <c r="N6" i="6"/>
  <c r="N36" i="6"/>
  <c r="N8" i="6"/>
  <c r="N5" i="6"/>
  <c r="N25" i="6"/>
  <c r="N31" i="6"/>
  <c r="O31" i="6" s="1"/>
  <c r="N14" i="6"/>
  <c r="N30" i="6"/>
  <c r="O30" i="6" s="1"/>
  <c r="N13" i="6"/>
  <c r="N23" i="6"/>
  <c r="N90" i="6"/>
  <c r="N33" i="6"/>
  <c r="N16" i="6"/>
  <c r="N27" i="6"/>
  <c r="N26" i="6"/>
  <c r="N29" i="6"/>
  <c r="O29" i="6" s="1"/>
  <c r="N43" i="6"/>
  <c r="N88" i="6"/>
  <c r="N15" i="6"/>
  <c r="N32" i="6"/>
  <c r="N19" i="6"/>
  <c r="N10" i="6"/>
  <c r="N9" i="6"/>
  <c r="D37" i="6"/>
  <c r="D4" i="6"/>
  <c r="D28" i="6"/>
  <c r="E28" i="6" s="1"/>
  <c r="D29" i="6"/>
  <c r="E29" i="6" s="1"/>
  <c r="D9" i="6"/>
  <c r="D12" i="6"/>
  <c r="D20" i="6"/>
  <c r="D33" i="6"/>
  <c r="D21" i="6"/>
  <c r="D13" i="6"/>
  <c r="D38" i="6"/>
  <c r="D14" i="6"/>
  <c r="D16" i="6"/>
  <c r="D30" i="6"/>
  <c r="E30" i="6" s="1"/>
  <c r="D39" i="6"/>
  <c r="D26" i="6"/>
  <c r="D10" i="6"/>
  <c r="D22" i="6"/>
  <c r="D43" i="6"/>
  <c r="D34" i="6"/>
  <c r="D32" i="6"/>
  <c r="D15" i="6"/>
  <c r="D17" i="6"/>
  <c r="D36" i="6"/>
  <c r="D19" i="6"/>
  <c r="D6" i="6"/>
  <c r="D44" i="6"/>
  <c r="D24" i="6"/>
  <c r="D18" i="6"/>
  <c r="D5" i="6"/>
  <c r="D23" i="6"/>
  <c r="D8" i="6"/>
  <c r="D35" i="6"/>
  <c r="D27" i="6"/>
  <c r="D25" i="6"/>
  <c r="H26" i="6"/>
  <c r="H35" i="6"/>
  <c r="H15" i="6"/>
  <c r="H8" i="6"/>
  <c r="H88" i="6"/>
  <c r="H29" i="6"/>
  <c r="I29" i="6" s="1"/>
  <c r="H6" i="6"/>
  <c r="H18" i="6"/>
  <c r="H10" i="6"/>
  <c r="H28" i="6"/>
  <c r="I28" i="6" s="1"/>
  <c r="H33" i="6"/>
  <c r="H16" i="6"/>
  <c r="H90" i="6"/>
  <c r="H13" i="6"/>
  <c r="H36" i="6"/>
  <c r="H44" i="6"/>
  <c r="H12" i="6"/>
  <c r="H22" i="6"/>
  <c r="H11" i="6"/>
  <c r="H4" i="6"/>
  <c r="H24" i="6"/>
  <c r="H25" i="6"/>
  <c r="H23" i="6"/>
  <c r="H5" i="6"/>
  <c r="H17" i="6"/>
  <c r="H27" i="6"/>
  <c r="H34" i="6"/>
  <c r="H39" i="6"/>
  <c r="H9" i="6"/>
  <c r="H38" i="6"/>
  <c r="H89" i="6"/>
  <c r="J32" i="6"/>
  <c r="J21" i="6"/>
  <c r="J16" i="6"/>
  <c r="J15" i="6"/>
  <c r="J36" i="6"/>
  <c r="J19" i="6"/>
  <c r="J4" i="6"/>
  <c r="J89" i="6"/>
  <c r="J88" i="6"/>
  <c r="J6" i="6"/>
  <c r="J35" i="6"/>
  <c r="J18" i="6"/>
  <c r="J90" i="6"/>
  <c r="J29" i="6"/>
  <c r="K29" i="6" s="1"/>
  <c r="J38" i="6"/>
  <c r="J44" i="6"/>
  <c r="J39" i="6"/>
  <c r="J22" i="6"/>
  <c r="J26" i="6"/>
  <c r="J30" i="6"/>
  <c r="K30" i="6" s="1"/>
  <c r="J9" i="6"/>
  <c r="J5" i="6"/>
  <c r="J12" i="6"/>
  <c r="J33" i="6"/>
  <c r="J31" i="6"/>
  <c r="K31" i="6" s="1"/>
  <c r="J14" i="6"/>
  <c r="J13" i="6"/>
  <c r="J43" i="6"/>
  <c r="J8" i="6"/>
  <c r="J24" i="6"/>
  <c r="J23" i="6"/>
  <c r="J37" i="6"/>
  <c r="J17" i="6"/>
  <c r="J10" i="6"/>
  <c r="J28" i="6"/>
  <c r="K28" i="6" s="1"/>
  <c r="J34" i="6"/>
  <c r="J27" i="6"/>
  <c r="J20" i="6"/>
  <c r="J11" i="6"/>
  <c r="J25" i="6"/>
  <c r="L18" i="6"/>
  <c r="L8" i="6"/>
  <c r="L89" i="6"/>
  <c r="L9" i="6"/>
  <c r="L21" i="6"/>
  <c r="L43" i="6"/>
  <c r="L88" i="6"/>
  <c r="L12" i="6"/>
  <c r="L29" i="6"/>
  <c r="M29" i="6" s="1"/>
  <c r="L14" i="6"/>
  <c r="L31" i="6"/>
  <c r="M31" i="6" s="1"/>
  <c r="L19" i="6"/>
  <c r="L36" i="6"/>
  <c r="L16" i="6"/>
  <c r="L33" i="6"/>
  <c r="L34" i="6"/>
  <c r="L26" i="6"/>
  <c r="L17" i="6"/>
  <c r="L30" i="6"/>
  <c r="M30" i="6" s="1"/>
  <c r="L10" i="6"/>
  <c r="L15" i="6"/>
  <c r="L11" i="6"/>
  <c r="L44" i="6"/>
  <c r="L22" i="6"/>
  <c r="L90" i="6"/>
  <c r="L5" i="6"/>
  <c r="L38" i="6"/>
  <c r="L25" i="6"/>
  <c r="L28" i="6"/>
  <c r="M28" i="6" s="1"/>
  <c r="L39" i="6"/>
  <c r="L37" i="6"/>
  <c r="L20" i="6"/>
  <c r="L24" i="6"/>
  <c r="L6" i="6"/>
  <c r="L35" i="6"/>
  <c r="F29" i="6"/>
  <c r="G29" i="6" s="1"/>
  <c r="F89" i="6"/>
  <c r="F6" i="6"/>
  <c r="G6" i="6" s="1"/>
  <c r="F8" i="6"/>
  <c r="G8" i="6" s="1"/>
  <c r="F43" i="6"/>
  <c r="G43" i="6" s="1"/>
  <c r="F33" i="6"/>
  <c r="G33" i="6" s="1"/>
  <c r="F30" i="6"/>
  <c r="G30" i="6" s="1"/>
  <c r="F4" i="6"/>
  <c r="G4" i="6" s="1"/>
  <c r="F15" i="6"/>
  <c r="G15" i="6" s="1"/>
  <c r="F22" i="6"/>
  <c r="G22" i="6" s="1"/>
  <c r="F39" i="6"/>
  <c r="F38" i="6"/>
  <c r="F21" i="6"/>
  <c r="G21" i="6" s="1"/>
  <c r="F23" i="6"/>
  <c r="G23" i="6" s="1"/>
  <c r="F17" i="6"/>
  <c r="G17" i="6" s="1"/>
  <c r="F14" i="6"/>
  <c r="G14" i="6" s="1"/>
  <c r="F12" i="6"/>
  <c r="G12" i="6" s="1"/>
  <c r="F28" i="6"/>
  <c r="G28" i="6" s="1"/>
  <c r="F19" i="6"/>
  <c r="G19" i="6" s="1"/>
  <c r="F24" i="6"/>
  <c r="G24" i="6" s="1"/>
  <c r="F35" i="6"/>
  <c r="G35" i="6" s="1"/>
  <c r="F37" i="6"/>
  <c r="G37" i="6" s="1"/>
  <c r="F31" i="6"/>
  <c r="G31" i="6" s="1"/>
  <c r="F16" i="6"/>
  <c r="G16" i="6" s="1"/>
  <c r="F36" i="6"/>
  <c r="G36" i="6" s="1"/>
  <c r="F90" i="6"/>
  <c r="F18" i="6"/>
  <c r="G18" i="6" s="1"/>
  <c r="F25" i="6"/>
  <c r="G25" i="6" s="1"/>
  <c r="F44" i="6"/>
  <c r="F34" i="6"/>
  <c r="G34" i="6" s="1"/>
  <c r="F9" i="6"/>
  <c r="G9" i="6" s="1"/>
  <c r="F32" i="6"/>
  <c r="G32" i="6" s="1"/>
  <c r="F26" i="6"/>
  <c r="G26" i="6" s="1"/>
  <c r="F11" i="6"/>
  <c r="G11" i="6" s="1"/>
  <c r="F88" i="6"/>
  <c r="F10" i="6"/>
  <c r="G10" i="6" s="1"/>
  <c r="F27" i="6"/>
  <c r="G27" i="6" s="1"/>
  <c r="F5" i="6"/>
  <c r="G5" i="6" s="1"/>
  <c r="F20" i="6"/>
  <c r="G20" i="6" s="1"/>
  <c r="D89" i="6"/>
  <c r="D107" i="6" s="1"/>
  <c r="D88" i="6"/>
  <c r="D106" i="6" s="1"/>
  <c r="D90" i="6"/>
  <c r="D108" i="6" s="1"/>
  <c r="F40" i="6"/>
  <c r="N40" i="6"/>
  <c r="D40" i="6"/>
  <c r="Q40" i="6"/>
  <c r="P40" i="6"/>
  <c r="J40" i="6"/>
  <c r="L40" i="6"/>
  <c r="C47" i="6"/>
  <c r="H40" i="6"/>
  <c r="L45" i="6"/>
  <c r="Q45" i="6"/>
  <c r="D45" i="6"/>
  <c r="J45" i="6"/>
  <c r="F45" i="6"/>
  <c r="H45" i="6"/>
  <c r="N45" i="6"/>
  <c r="P45" i="6"/>
  <c r="L109" i="6" l="1"/>
  <c r="Q82" i="6"/>
  <c r="T80" i="6"/>
  <c r="T79" i="6"/>
  <c r="T78" i="6"/>
  <c r="T82" i="6"/>
  <c r="L108" i="6"/>
  <c r="F108" i="6"/>
  <c r="AA57" i="9"/>
  <c r="AA73" i="9"/>
  <c r="D27" i="1"/>
  <c r="B9" i="1" s="1"/>
  <c r="W57" i="9"/>
  <c r="W73" i="9"/>
  <c r="S75" i="9"/>
  <c r="O57" i="9"/>
  <c r="O73" i="9"/>
  <c r="K73" i="9"/>
  <c r="K57" i="9"/>
  <c r="K75" i="9" s="1"/>
  <c r="F31" i="9"/>
  <c r="F40" i="9"/>
  <c r="F10" i="9"/>
  <c r="F43" i="9"/>
  <c r="C75" i="9"/>
  <c r="D50" i="9"/>
  <c r="E50" i="9" s="1"/>
  <c r="N82" i="6"/>
  <c r="O82" i="6" s="1"/>
  <c r="L82" i="6"/>
  <c r="M82" i="6" s="1"/>
  <c r="J82" i="6"/>
  <c r="K82" i="6" s="1"/>
  <c r="H82" i="6"/>
  <c r="I82" i="6" s="1"/>
  <c r="F82" i="6"/>
  <c r="G82" i="6" s="1"/>
  <c r="D82" i="6"/>
  <c r="E82" i="6" s="1"/>
  <c r="P82" i="6"/>
  <c r="U82" i="6"/>
  <c r="R47" i="6"/>
  <c r="K19" i="1"/>
  <c r="N21" i="1"/>
  <c r="K21" i="1"/>
  <c r="N20" i="1"/>
  <c r="K20" i="1"/>
  <c r="N15" i="1"/>
  <c r="K15" i="1"/>
  <c r="Q95" i="6"/>
  <c r="Q102" i="6"/>
  <c r="Q101" i="6"/>
  <c r="P102" i="6"/>
  <c r="P101" i="6"/>
  <c r="P95" i="6"/>
  <c r="Q22" i="1"/>
  <c r="Q19" i="1"/>
  <c r="Q18" i="1"/>
  <c r="N18" i="1"/>
  <c r="Q17" i="1"/>
  <c r="N17" i="1"/>
  <c r="J95" i="6"/>
  <c r="H23" i="1"/>
  <c r="Q15" i="1"/>
  <c r="N62" i="1"/>
  <c r="O55" i="1"/>
  <c r="O62" i="1" s="1"/>
  <c r="E62" i="1"/>
  <c r="F55" i="1"/>
  <c r="F62" i="1" s="1"/>
  <c r="L106" i="6"/>
  <c r="F106" i="6"/>
  <c r="N95" i="6"/>
  <c r="L107" i="6"/>
  <c r="H95" i="6"/>
  <c r="F107" i="6"/>
  <c r="C84" i="6"/>
  <c r="D47" i="6"/>
  <c r="P47" i="6"/>
  <c r="J47" i="6"/>
  <c r="N47" i="6"/>
  <c r="H47" i="6"/>
  <c r="Q47" i="6"/>
  <c r="F47" i="6"/>
  <c r="L47" i="6"/>
  <c r="Q108" i="6" l="1"/>
  <c r="Q109" i="6"/>
  <c r="P108" i="6"/>
  <c r="P109" i="6"/>
  <c r="N108" i="6"/>
  <c r="N109" i="6"/>
  <c r="J108" i="6"/>
  <c r="J109" i="6"/>
  <c r="H108" i="6"/>
  <c r="C108" i="6" s="1"/>
  <c r="H109" i="6"/>
  <c r="C109" i="6" s="1"/>
  <c r="F51" i="6"/>
  <c r="J64" i="6"/>
  <c r="K64" i="6" s="1"/>
  <c r="F57" i="6"/>
  <c r="G57" i="6" s="1"/>
  <c r="F52" i="6"/>
  <c r="G52" i="6" s="1"/>
  <c r="F68" i="6"/>
  <c r="G68" i="6" s="1"/>
  <c r="H67" i="6"/>
  <c r="D55" i="6"/>
  <c r="E55" i="6" s="1"/>
  <c r="AA75" i="9"/>
  <c r="L63" i="6"/>
  <c r="L70" i="6"/>
  <c r="L56" i="6"/>
  <c r="D69" i="6"/>
  <c r="E69" i="6" s="1"/>
  <c r="D64" i="6"/>
  <c r="E64" i="6" s="1"/>
  <c r="L67" i="6"/>
  <c r="N64" i="6"/>
  <c r="H57" i="6"/>
  <c r="N63" i="6"/>
  <c r="L57" i="6"/>
  <c r="J52" i="6"/>
  <c r="J67" i="6"/>
  <c r="N55" i="6"/>
  <c r="L66" i="6"/>
  <c r="N65" i="6"/>
  <c r="J57" i="6"/>
  <c r="J63" i="6"/>
  <c r="F63" i="6"/>
  <c r="G63" i="6" s="1"/>
  <c r="L52" i="6"/>
  <c r="J54" i="6"/>
  <c r="N66" i="6"/>
  <c r="F59" i="6"/>
  <c r="J53" i="6"/>
  <c r="N53" i="6"/>
  <c r="D57" i="6"/>
  <c r="E57" i="6" s="1"/>
  <c r="L64" i="6"/>
  <c r="D65" i="6"/>
  <c r="E65" i="6" s="1"/>
  <c r="D73" i="9"/>
  <c r="E73" i="9" s="1"/>
  <c r="D62" i="9"/>
  <c r="E62" i="9" s="1"/>
  <c r="D63" i="9"/>
  <c r="E63" i="9" s="1"/>
  <c r="D64" i="9"/>
  <c r="E64" i="9" s="1"/>
  <c r="D66" i="9"/>
  <c r="E66" i="9" s="1"/>
  <c r="D67" i="9"/>
  <c r="E67" i="9" s="1"/>
  <c r="D69" i="9"/>
  <c r="E69" i="9" s="1"/>
  <c r="D70" i="9"/>
  <c r="E70" i="9" s="1"/>
  <c r="D71" i="9"/>
  <c r="E71" i="9" s="1"/>
  <c r="D72" i="9"/>
  <c r="E72" i="9" s="1"/>
  <c r="D65" i="9"/>
  <c r="E65" i="9" s="1"/>
  <c r="D60" i="9"/>
  <c r="E60" i="9" s="1"/>
  <c r="N24" i="1"/>
  <c r="N59" i="6"/>
  <c r="L59" i="6"/>
  <c r="L51" i="6"/>
  <c r="D63" i="6"/>
  <c r="E63" i="6" s="1"/>
  <c r="H69" i="6"/>
  <c r="N69" i="6"/>
  <c r="D59" i="6"/>
  <c r="F55" i="6"/>
  <c r="G55" i="6" s="1"/>
  <c r="J65" i="6"/>
  <c r="N51" i="6"/>
  <c r="H53" i="6"/>
  <c r="N70" i="6"/>
  <c r="L68" i="6"/>
  <c r="D51" i="6"/>
  <c r="E51" i="6" s="1"/>
  <c r="F66" i="6"/>
  <c r="G66" i="6" s="1"/>
  <c r="J70" i="6"/>
  <c r="L55" i="6"/>
  <c r="H66" i="6"/>
  <c r="D53" i="6"/>
  <c r="E53" i="6" s="1"/>
  <c r="J55" i="6"/>
  <c r="F56" i="6"/>
  <c r="G56" i="6" s="1"/>
  <c r="H63" i="6"/>
  <c r="J68" i="6"/>
  <c r="H54" i="6"/>
  <c r="F54" i="6"/>
  <c r="G54" i="6" s="1"/>
  <c r="H70" i="6"/>
  <c r="L69" i="6"/>
  <c r="N67" i="6"/>
  <c r="J66" i="6"/>
  <c r="J56" i="6"/>
  <c r="H52" i="6"/>
  <c r="L54" i="6"/>
  <c r="H65" i="6"/>
  <c r="D56" i="6"/>
  <c r="E56" i="6" s="1"/>
  <c r="D70" i="6"/>
  <c r="F69" i="6"/>
  <c r="G69" i="6" s="1"/>
  <c r="F64" i="6"/>
  <c r="G64" i="6" s="1"/>
  <c r="J69" i="6"/>
  <c r="N54" i="6"/>
  <c r="J51" i="6"/>
  <c r="N52" i="6"/>
  <c r="N68" i="6"/>
  <c r="D66" i="6"/>
  <c r="E66" i="6" s="1"/>
  <c r="D68" i="6"/>
  <c r="E68" i="6" s="1"/>
  <c r="H59" i="6"/>
  <c r="N57" i="6"/>
  <c r="H64" i="6"/>
  <c r="I64" i="6" s="1"/>
  <c r="D52" i="6"/>
  <c r="E52" i="6" s="1"/>
  <c r="J59" i="6"/>
  <c r="H56" i="6"/>
  <c r="F67" i="6"/>
  <c r="G67" i="6" s="1"/>
  <c r="H55" i="6"/>
  <c r="F65" i="6"/>
  <c r="G65" i="6" s="1"/>
  <c r="L53" i="6"/>
  <c r="N56" i="6"/>
  <c r="D67" i="6"/>
  <c r="E67" i="6" s="1"/>
  <c r="L65" i="6"/>
  <c r="F53" i="6"/>
  <c r="G53" i="6" s="1"/>
  <c r="F70" i="6"/>
  <c r="D54" i="6"/>
  <c r="E54" i="6" s="1"/>
  <c r="H68" i="6"/>
  <c r="H51" i="6"/>
  <c r="W75" i="9"/>
  <c r="O75" i="9"/>
  <c r="D75" i="9"/>
  <c r="E75" i="9" s="1"/>
  <c r="G50" i="9"/>
  <c r="G73" i="9"/>
  <c r="G57" i="9"/>
  <c r="T40" i="6"/>
  <c r="U47" i="6"/>
  <c r="T5" i="6"/>
  <c r="T45" i="6"/>
  <c r="T38" i="6"/>
  <c r="T37" i="6"/>
  <c r="T36" i="6"/>
  <c r="T35" i="6"/>
  <c r="T34" i="6"/>
  <c r="T33" i="6"/>
  <c r="T32" i="6"/>
  <c r="T28" i="6"/>
  <c r="T27" i="6"/>
  <c r="T26" i="6"/>
  <c r="T25" i="6"/>
  <c r="T24" i="6"/>
  <c r="T23" i="6"/>
  <c r="T22" i="6"/>
  <c r="T21" i="6"/>
  <c r="T20" i="6"/>
  <c r="T19" i="6"/>
  <c r="T18" i="6"/>
  <c r="T17" i="6"/>
  <c r="T16" i="6"/>
  <c r="T15" i="6"/>
  <c r="T14" i="6"/>
  <c r="T12" i="6"/>
  <c r="T11" i="6"/>
  <c r="T10" i="6"/>
  <c r="T9" i="6"/>
  <c r="T8" i="6"/>
  <c r="T7" i="6"/>
  <c r="T6" i="6"/>
  <c r="T4" i="6"/>
  <c r="T47" i="6"/>
  <c r="T43" i="6"/>
  <c r="T39" i="6"/>
  <c r="C86" i="6"/>
  <c r="R84" i="6"/>
  <c r="S47" i="6" s="1"/>
  <c r="K24" i="1"/>
  <c r="Q106" i="6"/>
  <c r="Q107" i="6"/>
  <c r="P107" i="6"/>
  <c r="C96" i="6"/>
  <c r="P106" i="6"/>
  <c r="C95" i="6"/>
  <c r="H106" i="6"/>
  <c r="H107" i="6"/>
  <c r="J106" i="6"/>
  <c r="J107" i="6"/>
  <c r="Q23" i="1"/>
  <c r="R15" i="1" s="1"/>
  <c r="S15" i="1" s="1"/>
  <c r="N106" i="6"/>
  <c r="N107" i="6"/>
  <c r="T16" i="1"/>
  <c r="E47" i="6"/>
  <c r="D100" i="6"/>
  <c r="P100" i="6"/>
  <c r="P84" i="6"/>
  <c r="T20" i="1"/>
  <c r="J100" i="6"/>
  <c r="T18" i="1"/>
  <c r="K47" i="6"/>
  <c r="T22" i="1"/>
  <c r="O47" i="6"/>
  <c r="N100" i="6"/>
  <c r="I47" i="6"/>
  <c r="T17" i="1"/>
  <c r="H100" i="6"/>
  <c r="T21" i="1"/>
  <c r="Q84" i="6"/>
  <c r="Q100" i="6"/>
  <c r="F100" i="6"/>
  <c r="G47" i="6"/>
  <c r="T15" i="1"/>
  <c r="L100" i="6"/>
  <c r="M47" i="6"/>
  <c r="T19" i="1"/>
  <c r="L102" i="6" l="1"/>
  <c r="M70" i="6"/>
  <c r="G59" i="6"/>
  <c r="F101" i="6"/>
  <c r="F84" i="6"/>
  <c r="H102" i="6"/>
  <c r="I70" i="6"/>
  <c r="H84" i="6"/>
  <c r="D102" i="6"/>
  <c r="E70" i="6"/>
  <c r="I59" i="6"/>
  <c r="H101" i="6"/>
  <c r="K59" i="6"/>
  <c r="J101" i="6"/>
  <c r="G70" i="6"/>
  <c r="F102" i="6"/>
  <c r="N84" i="6"/>
  <c r="N101" i="6"/>
  <c r="O59" i="6"/>
  <c r="M59" i="6"/>
  <c r="L101" i="6"/>
  <c r="L84" i="6"/>
  <c r="D101" i="6"/>
  <c r="E59" i="6"/>
  <c r="D84" i="6"/>
  <c r="D86" i="6" s="1"/>
  <c r="O70" i="6"/>
  <c r="N102" i="6"/>
  <c r="J84" i="6"/>
  <c r="J102" i="6"/>
  <c r="K70" i="6"/>
  <c r="G75" i="9"/>
  <c r="U84" i="6"/>
  <c r="V47" i="6" s="1"/>
  <c r="S82" i="6"/>
  <c r="S59" i="6"/>
  <c r="S70" i="6"/>
  <c r="C97" i="6"/>
  <c r="C106" i="6"/>
  <c r="C107" i="6"/>
  <c r="R22" i="1"/>
  <c r="S22" i="1" s="1"/>
  <c r="U22" i="1" s="1"/>
  <c r="R21" i="1"/>
  <c r="S21" i="1" s="1"/>
  <c r="U21" i="1" s="1"/>
  <c r="R20" i="1"/>
  <c r="S20" i="1" s="1"/>
  <c r="U20" i="1" s="1"/>
  <c r="R18" i="1"/>
  <c r="S18" i="1" s="1"/>
  <c r="U18" i="1" s="1"/>
  <c r="R16" i="1"/>
  <c r="S16" i="1" s="1"/>
  <c r="U16" i="1" s="1"/>
  <c r="R17" i="1"/>
  <c r="S17" i="1" s="1"/>
  <c r="U17" i="1" s="1"/>
  <c r="R19" i="1"/>
  <c r="S19" i="1" s="1"/>
  <c r="U19" i="1" s="1"/>
  <c r="U15" i="1"/>
  <c r="C100" i="6"/>
  <c r="C101" i="6" l="1"/>
  <c r="E84" i="6"/>
  <c r="E86" i="6" s="1"/>
  <c r="C102" i="6"/>
  <c r="F86" i="6"/>
  <c r="G84" i="6"/>
  <c r="G86" i="6" s="1"/>
  <c r="H86" i="6"/>
  <c r="I84" i="6"/>
  <c r="I86" i="6" s="1"/>
  <c r="N86" i="6"/>
  <c r="O84" i="6"/>
  <c r="L86" i="6"/>
  <c r="M84" i="6"/>
  <c r="M86" i="6" s="1"/>
  <c r="J86" i="6"/>
  <c r="K84" i="6"/>
  <c r="K86" i="6" s="1"/>
  <c r="V74" i="6"/>
  <c r="V82" i="6"/>
  <c r="S84" i="6"/>
  <c r="C103" i="6" l="1"/>
  <c r="V84" i="6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Harrie Boelens</author>
  </authors>
  <commentList>
    <comment ref="B64" authorId="0" shapeId="0" xr:uid="{6D2D8EAD-303F-0548-BC57-8E7E310C2833}">
      <text>
        <r>
          <rPr>
            <b/>
            <sz val="10"/>
            <color rgb="FF000000"/>
            <rFont val="Tahoma"/>
            <family val="2"/>
          </rPr>
          <t>Harrie Boelens:</t>
        </r>
        <r>
          <rPr>
            <sz val="10"/>
            <color rgb="FF000000"/>
            <rFont val="Tahoma"/>
            <family val="2"/>
          </rPr>
          <t xml:space="preserve">
</t>
        </r>
        <r>
          <rPr>
            <sz val="10"/>
            <color rgb="FF000000"/>
            <rFont val="Tahoma"/>
            <family val="2"/>
          </rPr>
          <t>Zit hier ook in 410601 jaarlijkse kosten HPS 18.800</t>
        </r>
      </text>
    </comment>
  </commentList>
</comments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<sst xmlns="http://schemas.openxmlformats.org/spreadsheetml/2006/main" count="1483" uniqueCount="485">
  <si>
    <t>Premie opstalverzekering</t>
  </si>
  <si>
    <t>Premie glasverzekering</t>
  </si>
  <si>
    <t>Bankkosten</t>
  </si>
  <si>
    <t>Verenigingskosten</t>
  </si>
  <si>
    <t>Accountantskosten</t>
  </si>
  <si>
    <t>Opbrengsten</t>
  </si>
  <si>
    <t>Eigenaarslasten</t>
  </si>
  <si>
    <t>Servicekosten</t>
  </si>
  <si>
    <t>Kosten beschermd wonen</t>
  </si>
  <si>
    <t>Activiteitenbegeleiding</t>
  </si>
  <si>
    <t>Kosten levering diensten tussengebouw</t>
  </si>
  <si>
    <t>Onderhoudscontract liftinstallatie</t>
  </si>
  <si>
    <t>Onderhoud zonwering</t>
  </si>
  <si>
    <t>Totaal</t>
  </si>
  <si>
    <t>Volgens artikel 2 lid 3 breukdeel …/10.000</t>
  </si>
  <si>
    <t>Totaal servicekosten</t>
  </si>
  <si>
    <t>Verdeling pondsgewijs ../204</t>
  </si>
  <si>
    <t>46/10000</t>
  </si>
  <si>
    <t>29/10000</t>
  </si>
  <si>
    <t>75/10000</t>
  </si>
  <si>
    <t>Pondsgewijs</t>
  </si>
  <si>
    <t>Naam</t>
  </si>
  <si>
    <t>In bestuur</t>
  </si>
  <si>
    <t>Functies</t>
  </si>
  <si>
    <t>Eigendomsoverzicht</t>
  </si>
  <si>
    <t>Anoniem</t>
  </si>
  <si>
    <t>-</t>
  </si>
  <si>
    <t>52: Herman Gorterlaan 105</t>
  </si>
  <si>
    <t>28: Herman Gorterlaan 57</t>
  </si>
  <si>
    <t>189: Herman Gorterlaan 379</t>
  </si>
  <si>
    <t>61: Herman Gorterlaan 123</t>
  </si>
  <si>
    <t>11: Herman Gorterlaan 23</t>
  </si>
  <si>
    <t>204: Herman Gorterlaan 409</t>
  </si>
  <si>
    <t>174: Herman Gorterlaan 349</t>
  </si>
  <si>
    <t>46: Herman Gorterlaan 93</t>
  </si>
  <si>
    <t>47: Herman Gorterlaan 95</t>
  </si>
  <si>
    <t>207: Herman Gorterlaan 415</t>
  </si>
  <si>
    <t>172: Herman Gorterlaan 345</t>
  </si>
  <si>
    <t>71: Herman Gorterlaan 143</t>
  </si>
  <si>
    <t>103: Herman Gorterlaan 207</t>
  </si>
  <si>
    <t>182: Herman Gorterlaan 365</t>
  </si>
  <si>
    <t>183: Herman Gorterlaan 367</t>
  </si>
  <si>
    <t>152: Herman Gorterlaan 305</t>
  </si>
  <si>
    <t>102: Herman Gorterlaan 205</t>
  </si>
  <si>
    <t>88: Herman Gorterlaan 177</t>
  </si>
  <si>
    <t>38: Herman Gorterlaan 77</t>
  </si>
  <si>
    <t>77: Herman Gorterlaan 155</t>
  </si>
  <si>
    <t>190: Herman Gorterlaan 381</t>
  </si>
  <si>
    <t>45: Herman Gorterlaan 91</t>
  </si>
  <si>
    <t>127: Herman Gorterlaan 255</t>
  </si>
  <si>
    <t>151: Herman Gorterlaan 303</t>
  </si>
  <si>
    <t>210: Herman Gorterlaan 421</t>
  </si>
  <si>
    <t>74: Herman Gorterlaan 149</t>
  </si>
  <si>
    <t>51: Herman Gorterlaan 103</t>
  </si>
  <si>
    <t>205: Herman Gorterlaan 411</t>
  </si>
  <si>
    <t>133: Herman Gorterlaan 267</t>
  </si>
  <si>
    <t>4: Herman Gorterlaan 9</t>
  </si>
  <si>
    <t>27: Herman Gorterlaan 55</t>
  </si>
  <si>
    <t>143: Herman Gorterlaan 287</t>
  </si>
  <si>
    <t>111: Herman Gorterlaan 223</t>
  </si>
  <si>
    <t>49: Herman Gorterlaan 99</t>
  </si>
  <si>
    <t>12: Herman Gorterlaan 25</t>
  </si>
  <si>
    <t>153: Herman Gorterlaan 307</t>
  </si>
  <si>
    <t>196: Herman Gorterlaan 393</t>
  </si>
  <si>
    <t>95: Herman Gorterlaan 191</t>
  </si>
  <si>
    <t>42: Herman Gorterlaan 85</t>
  </si>
  <si>
    <t>167: Herman Gorterlaan 335</t>
  </si>
  <si>
    <t>195: Herman Gorterlaan 391</t>
  </si>
  <si>
    <t>201: Herman Gorterlaan 403</t>
  </si>
  <si>
    <t>131: Herman Gorterlaan 263</t>
  </si>
  <si>
    <t>132: Herman Gorterlaan 265</t>
  </si>
  <si>
    <t>164: Herman Gorterlaan 329</t>
  </si>
  <si>
    <t>55: Herman Gorterlaan 111</t>
  </si>
  <si>
    <t>155: Herman Gorterlaan 311</t>
  </si>
  <si>
    <t>169: Herman Gorterlaan 339</t>
  </si>
  <si>
    <t>85: Herman Gorterlaan 171</t>
  </si>
  <si>
    <t>198: Herman Gorterlaan 397</t>
  </si>
  <si>
    <t>176: Herman Gorterlaan 353</t>
  </si>
  <si>
    <t>135: Herman Gorterlaan 271</t>
  </si>
  <si>
    <t>34: Herman Gorterlaan 69</t>
  </si>
  <si>
    <t>97: Herman Gorterlaan 195</t>
  </si>
  <si>
    <t>98: Herman Gorterlaan 197</t>
  </si>
  <si>
    <t>72: Herman Gorterlaan 145</t>
  </si>
  <si>
    <t>19: Herman Gorterlaan 39</t>
  </si>
  <si>
    <t>140: Herman Gorterlaan 281</t>
  </si>
  <si>
    <t>141: Herman Gorterlaan 283</t>
  </si>
  <si>
    <t>113: Herman Gorterlaan 227</t>
  </si>
  <si>
    <t>37: Herman Gorterlaan 75</t>
  </si>
  <si>
    <t>159: Herman Gorterlaan 319</t>
  </si>
  <si>
    <t>112: Herman Gorterlaan 225</t>
  </si>
  <si>
    <t>114: Herman Gorterlaan 229</t>
  </si>
  <si>
    <t>115: Herman Gorterlaan 231</t>
  </si>
  <si>
    <t>123: Herman Gorterlaan 247</t>
  </si>
  <si>
    <t>124: Herman Gorterlaan 249</t>
  </si>
  <si>
    <t>187: Herman Gorterlaan 375</t>
  </si>
  <si>
    <t>170: Herman Gorterlaan 341</t>
  </si>
  <si>
    <t>40: Herman Gorterlaan 81</t>
  </si>
  <si>
    <t>199: Herman Gorterlaan 399</t>
  </si>
  <si>
    <t>208: Herman Gorterlaan 417</t>
  </si>
  <si>
    <t>209: Herman Gorterlaan 419</t>
  </si>
  <si>
    <t>21: Herman Gorterlaan 43</t>
  </si>
  <si>
    <t>147: Herman Gorterlaan 295</t>
  </si>
  <si>
    <t>181: Herman Gorterlaan 363</t>
  </si>
  <si>
    <t>184: Herman Gorterlaan 369</t>
  </si>
  <si>
    <t>219: Herman Gorterlaan 439</t>
  </si>
  <si>
    <t>139: Herman Gorterlaan 279</t>
  </si>
  <si>
    <t>14: Herman Gorterlaan 29</t>
  </si>
  <si>
    <t>117: Herman Gorterlaan 235</t>
  </si>
  <si>
    <t>57: Herman Gorterlaan 115</t>
  </si>
  <si>
    <t>108: Herman Gorterlaan 217</t>
  </si>
  <si>
    <t>134: Herman Gorterlaan 269</t>
  </si>
  <si>
    <t>138: Herman Gorterlaan 277</t>
  </si>
  <si>
    <t>16: Herman Gorterlaan 33</t>
  </si>
  <si>
    <t>50: Herman Gorterlaan 101</t>
  </si>
  <si>
    <t>1: Herman Gorterlaan 3</t>
  </si>
  <si>
    <t>82: Herman Gorterlaan 165</t>
  </si>
  <si>
    <t>156: Herman Gorterlaan 313</t>
  </si>
  <si>
    <t>68: Herman Gorterlaan 137</t>
  </si>
  <si>
    <t>84: Herman Gorterlaan 169</t>
  </si>
  <si>
    <t>41: Herman Gorterlaan 83</t>
  </si>
  <si>
    <t>144: Herman Gorterlaan 289</t>
  </si>
  <si>
    <t>26: Herman Gorterlaan 53</t>
  </si>
  <si>
    <t>96: Herman Gorterlaan 193</t>
  </si>
  <si>
    <t>23: Herman Gorterlaan 47</t>
  </si>
  <si>
    <t>75: Herman Gorterlaan 151</t>
  </si>
  <si>
    <t>65: Herman Gorterlaan 131</t>
  </si>
  <si>
    <t>76: Herman Gorterlaan 153</t>
  </si>
  <si>
    <t>145: Herman Gorterlaan 291</t>
  </si>
  <si>
    <t>154: Herman Gorterlaan 309</t>
  </si>
  <si>
    <t>3: Herman Gorterlaan 7</t>
  </si>
  <si>
    <t>146: Herman Gorterlaan 293</t>
  </si>
  <si>
    <t>106: Herman Gorterlaan 213</t>
  </si>
  <si>
    <t>86: Herman Gorterlaan 173</t>
  </si>
  <si>
    <t>206: Herman Gorterlaan 413</t>
  </si>
  <si>
    <t>165: Herman Gorterlaan 331</t>
  </si>
  <si>
    <t>80: Herman Gorterlaan 161</t>
  </si>
  <si>
    <t>2: Herman Gorterlaan 5</t>
  </si>
  <si>
    <t>48: Herman Gorterlaan 97</t>
  </si>
  <si>
    <t>118: Herman Gorterlaan 237</t>
  </si>
  <si>
    <t>100: Herman Gorterlaan 201</t>
  </si>
  <si>
    <t>62: Herman Gorterlaan 125</t>
  </si>
  <si>
    <t>213: Herman Gorterlaan 427</t>
  </si>
  <si>
    <t>Stichting Wooninc.</t>
  </si>
  <si>
    <t>6: Herman Gorterlaan 13</t>
  </si>
  <si>
    <t>7: Herman Gorterlaan 15</t>
  </si>
  <si>
    <t>8: Herman Gorterlaan 17</t>
  </si>
  <si>
    <t>9: Herman Gorterlaan 19</t>
  </si>
  <si>
    <t>10: Herman Gorterlaan 21</t>
  </si>
  <si>
    <t>13: Herman Gorterlaan 27</t>
  </si>
  <si>
    <t>15: Herman Gorterlaan 31</t>
  </si>
  <si>
    <t>17: Herman Gorterlaan 35</t>
  </si>
  <si>
    <t>18: Herman Gorterlaan 37</t>
  </si>
  <si>
    <t>22: Herman Gorterlaan 45</t>
  </si>
  <si>
    <t>24: Herman Gorterlaan 49</t>
  </si>
  <si>
    <t>25: Herman Gorterlaan 51</t>
  </si>
  <si>
    <t>29: Herman Gorterlaan 59</t>
  </si>
  <si>
    <t>30: Herman Gorterlaan 61</t>
  </si>
  <si>
    <t>31: Herman Gorterlaan 63</t>
  </si>
  <si>
    <t>32: Herman Gorterlaan 65</t>
  </si>
  <si>
    <t>35: Herman Gorterlaan 71</t>
  </si>
  <si>
    <t>36: Herman Gorterlaan 73</t>
  </si>
  <si>
    <t>39: Herman Gorterlaan 79</t>
  </si>
  <si>
    <t>43: Herman Gorterlaan 87</t>
  </si>
  <si>
    <t>44: Herman Gorterlaan 89</t>
  </si>
  <si>
    <t>53: Herman Gorterlaan 107</t>
  </si>
  <si>
    <t>54: Herman Gorterlaan 109</t>
  </si>
  <si>
    <t>56: Herman Gorterlaan 113</t>
  </si>
  <si>
    <t>58: Herman Gorterlaan 117</t>
  </si>
  <si>
    <t>59: Herman Gorterlaan 119</t>
  </si>
  <si>
    <t>60: Herman Gorterlaan 121</t>
  </si>
  <si>
    <t>63: Herman Gorterlaan 127</t>
  </si>
  <si>
    <t>64: Herman Gorterlaan 129</t>
  </si>
  <si>
    <t>67: Herman Gorterlaan 135</t>
  </si>
  <si>
    <t>69: Herman Gorterlaan 139</t>
  </si>
  <si>
    <t>70: Herman Gorterlaan 141</t>
  </si>
  <si>
    <t>73: Herman Gorterlaan 147</t>
  </si>
  <si>
    <t>79: Herman Gorterlaan 159</t>
  </si>
  <si>
    <t>81: Herman Gorterlaan 163</t>
  </si>
  <si>
    <t>83: Herman Gorterlaan 167</t>
  </si>
  <si>
    <t>89: Herman Gorterlaan 179</t>
  </si>
  <si>
    <t>90: Herman Gorterlaan 181</t>
  </si>
  <si>
    <t>91: Herman Gorterlaan 183</t>
  </si>
  <si>
    <t>93: Herman Gorterlaan 187</t>
  </si>
  <si>
    <t>94: Herman Gorterlaan 189</t>
  </si>
  <si>
    <t>105: Herman Gorterlaan 211</t>
  </si>
  <si>
    <t>107: Herman Gorterlaan 215</t>
  </si>
  <si>
    <t>109: Herman Gorterlaan 219</t>
  </si>
  <si>
    <t>110: Herman Gorterlaan 221</t>
  </si>
  <si>
    <t>116: Herman Gorterlaan 233</t>
  </si>
  <si>
    <t>126: Herman Gorterlaan 253</t>
  </si>
  <si>
    <t>128: Herman Gorterlaan 257</t>
  </si>
  <si>
    <t>129: Herman Gorterlaan 259</t>
  </si>
  <si>
    <t>136: Herman Gorterlaan 273</t>
  </si>
  <si>
    <t>137: Herman Gorterlaan 275</t>
  </si>
  <si>
    <t>148: Herman Gorterlaan 297</t>
  </si>
  <si>
    <t>149: Herman Gorterlaan 299</t>
  </si>
  <si>
    <t>150: Herman Gorterlaan 301</t>
  </si>
  <si>
    <t>160: Herman Gorterlaan 321</t>
  </si>
  <si>
    <t>161: Herman Gorterlaan 323</t>
  </si>
  <si>
    <t>162: Herman Gorterlaan 325</t>
  </si>
  <si>
    <t>166: Herman Gorterlaan 333</t>
  </si>
  <si>
    <t>168: Herman Gorterlaan 337</t>
  </si>
  <si>
    <t>171: Herman Gorterlaan 343</t>
  </si>
  <si>
    <t>173: Herman Gorterlaan 347</t>
  </si>
  <si>
    <t>175: Herman Gorterlaan 351</t>
  </si>
  <si>
    <t>179: Herman Gorterlaan 359</t>
  </si>
  <si>
    <t>185: Herman Gorterlaan 371</t>
  </si>
  <si>
    <t>188: Herman Gorterlaan 377</t>
  </si>
  <si>
    <t>191: Herman Gorterlaan 383</t>
  </si>
  <si>
    <t>192: Herman Gorterlaan 385</t>
  </si>
  <si>
    <t>193: Herman Gorterlaan 387</t>
  </si>
  <si>
    <t>194: Herman Gorterlaan 389</t>
  </si>
  <si>
    <t>200: Herman Gorterlaan 401</t>
  </si>
  <si>
    <t>202: Herman Gorterlaan 405</t>
  </si>
  <si>
    <t>203: Herman Gorterlaan 407</t>
  </si>
  <si>
    <t>211: Herman Gorterlaan 423</t>
  </si>
  <si>
    <t>212: Herman Gorterlaan 425</t>
  </si>
  <si>
    <t>214: Herman Gorterlaan 429</t>
  </si>
  <si>
    <t>215: Herman Gorterlaan 431</t>
  </si>
  <si>
    <t>216: Herman Gorterlaan 433</t>
  </si>
  <si>
    <t>217: Herman Gorterlaan 435</t>
  </si>
  <si>
    <t>218: Herman Gorterlaan 437</t>
  </si>
  <si>
    <t>33: Herman Gorterlaan 67</t>
  </si>
  <si>
    <t>101: Herman Gorterlaan 203</t>
  </si>
  <si>
    <t>186: Herman Gorterlaan 373</t>
  </si>
  <si>
    <t>163: Herman Gorterlaan 327</t>
  </si>
  <si>
    <t>104: Herman Gorterlaan 209</t>
  </si>
  <si>
    <t>119: Herman Gorterlaan 239</t>
  </si>
  <si>
    <t>78: Herman Gorterlaan 157</t>
  </si>
  <si>
    <t>125: Herman Gorterlaan 251</t>
  </si>
  <si>
    <t>178: Herman Gorterlaan 357</t>
  </si>
  <si>
    <t>5: Herman Gorterlaan 11</t>
  </si>
  <si>
    <t>197: Herman Gorterlaan 395</t>
  </si>
  <si>
    <t>99: Herman Gorterlaan 199</t>
  </si>
  <si>
    <t>120: Herman Gorterlaan 241</t>
  </si>
  <si>
    <t>121: Herman Gorterlaan 243</t>
  </si>
  <si>
    <t>177: Herman Gorterlaan 355</t>
  </si>
  <si>
    <t>180: Herman Gorterlaan 361</t>
  </si>
  <si>
    <t>66: Herman Gorterlaan 133</t>
  </si>
  <si>
    <t>122: Herman Gorterlaan 245</t>
  </si>
  <si>
    <t>130: Herman Gorterlaan 261</t>
  </si>
  <si>
    <t>20: Herman Gorterlaan 41</t>
  </si>
  <si>
    <t>142: Herman Gorterlaan 285</t>
  </si>
  <si>
    <t>92: Herman Gorterlaan 185</t>
  </si>
  <si>
    <t>87: Herman Gorterlaan 175</t>
  </si>
  <si>
    <t>157: Herman Gorterlaan 315</t>
  </si>
  <si>
    <t>158: Herman Gorterlaan 317</t>
  </si>
  <si>
    <t xml:space="preserve"> Herman Gorterlaan</t>
  </si>
  <si>
    <t>Nr</t>
  </si>
  <si>
    <t>Huisnr</t>
  </si>
  <si>
    <t>Appartementen volgens splitsing</t>
  </si>
  <si>
    <t>logeerkamers volgens splitsing</t>
  </si>
  <si>
    <t>Totaal appartementen</t>
  </si>
  <si>
    <t>Logeerkamer</t>
  </si>
  <si>
    <t>Totaal appartementen volgens splitsing</t>
  </si>
  <si>
    <t>samengestelde appartementen A/D</t>
  </si>
  <si>
    <t>Straat</t>
  </si>
  <si>
    <t>Totaal service kosten</t>
  </si>
  <si>
    <t>Onderhoud / storingen elektrische deur</t>
  </si>
  <si>
    <t>Onderhoudscontract elektrische deur</t>
  </si>
  <si>
    <t>Onderhoudscontract bliksemafleidingsinstallatie</t>
  </si>
  <si>
    <t>Dagelijks onderhoud</t>
  </si>
  <si>
    <t>Legionellabeheer</t>
  </si>
  <si>
    <t>Honorarium technisch beheerder</t>
  </si>
  <si>
    <t>Honorarium administratief beheerder</t>
  </si>
  <si>
    <t>Onderhoudscontract hydrofoor</t>
  </si>
  <si>
    <t>Onderhoudskosten E-installatie stelpost</t>
  </si>
  <si>
    <t>Declaratiekosten bestuursleden</t>
  </si>
  <si>
    <t>A</t>
  </si>
  <si>
    <t>Opbrengst wasssen</t>
  </si>
  <si>
    <t>Opbrengst logeerkamers</t>
  </si>
  <si>
    <t>Totaal opbrengsten</t>
  </si>
  <si>
    <t>Glasbewassing</t>
  </si>
  <si>
    <t>Bijdrage activiteitencommissie VvE Kortonjo</t>
  </si>
  <si>
    <t>Schoonmaak tussengebouw</t>
  </si>
  <si>
    <t>Ongediertebestrijding</t>
  </si>
  <si>
    <t>B</t>
  </si>
  <si>
    <t>C</t>
  </si>
  <si>
    <t>Medewerker Praethuys</t>
  </si>
  <si>
    <t>Totaal kosten beschermd wonen</t>
  </si>
  <si>
    <t>A/D</t>
  </si>
  <si>
    <t>D</t>
  </si>
  <si>
    <t>Per maand 
A/D</t>
  </si>
  <si>
    <t>Per maand 
A</t>
  </si>
  <si>
    <t>Per maand 
B</t>
  </si>
  <si>
    <t>Per maand 
C</t>
  </si>
  <si>
    <t>Per maand 
D</t>
  </si>
  <si>
    <t>F</t>
  </si>
  <si>
    <t>Per maand 
F</t>
  </si>
  <si>
    <t>Aantal appartermenten per type</t>
  </si>
  <si>
    <t>Type</t>
  </si>
  <si>
    <t>NR.</t>
  </si>
  <si>
    <t>Verdeelsleutel</t>
  </si>
  <si>
    <t>E1</t>
  </si>
  <si>
    <t>E2</t>
  </si>
  <si>
    <t>Type E1</t>
  </si>
  <si>
    <t>Type E2</t>
  </si>
  <si>
    <t>Dubbel A/D</t>
  </si>
  <si>
    <t>Totaal pondsgewijs</t>
  </si>
  <si>
    <t>E1/E2</t>
  </si>
  <si>
    <t>Totaal servicekosten PONDSGEWIJS</t>
  </si>
  <si>
    <t>Totaal kosten beschermd wonen PONDSGEWIJS</t>
  </si>
  <si>
    <t>Premie wettelijke aansprakelijkheid</t>
  </si>
  <si>
    <t>Premie bestuurdersaansprakelijkheid</t>
  </si>
  <si>
    <t>Overeenkomst juridische dienstverlening</t>
  </si>
  <si>
    <t xml:space="preserve">Onderhoudscontract E-installatie stelpost (noodverlichting + NSA) </t>
  </si>
  <si>
    <t>Onderhoud storingen hydrofoor</t>
  </si>
  <si>
    <t>Onderhoud / storingen liftinstallatie</t>
  </si>
  <si>
    <t>Energiekosten elektraverbruik</t>
  </si>
  <si>
    <t>Waterverbruik gemeenschappelijk en woningen</t>
  </si>
  <si>
    <t>Antennevergoeding</t>
  </si>
  <si>
    <t>Rente</t>
  </si>
  <si>
    <t xml:space="preserve">Totaal kosten </t>
  </si>
  <si>
    <t>Bijdrage hoofdsplitsing</t>
  </si>
  <si>
    <t>Onderhoud groenvoorziening</t>
  </si>
  <si>
    <t>Kosten huismeester</t>
  </si>
  <si>
    <t>Schoonmaakcontract algemene ruimten</t>
  </si>
  <si>
    <t>Totaal eigenaarslasten - algemeen breukdeel /10.000</t>
  </si>
  <si>
    <t>Voorschotbijdrage = Totaal eigenaarslaten - algemeen breukdeel /10.000</t>
  </si>
  <si>
    <t>Controle berekening</t>
  </si>
  <si>
    <t>Begroting
Type C</t>
  </si>
  <si>
    <t>Begroting
Type B</t>
  </si>
  <si>
    <t>Begroting
Type (A/D)</t>
  </si>
  <si>
    <t>Begroting
Type A</t>
  </si>
  <si>
    <t>Begroting
Type D</t>
  </si>
  <si>
    <t>Begroting
Type F</t>
  </si>
  <si>
    <t>Logeerkamers volgens splitsing</t>
  </si>
  <si>
    <t>Samengesteld appartement</t>
  </si>
  <si>
    <t>Aantal logeerkamers</t>
  </si>
  <si>
    <t>Totaal pondsgewijs excl. logeerkamers</t>
  </si>
  <si>
    <t>21180 - Aanvullende vergaderstukken vergadering 1 oktober 2021.pdf</t>
  </si>
  <si>
    <t>betalen geen servicekosten en geen kosten voor beschermd wonen
Voor toelichting zie document: 21180 - Aanvullende vergaderstukken vergadering 1 oktober 2021.pdf</t>
  </si>
  <si>
    <t>Opstal en WA verzekering 1-1-2022</t>
  </si>
  <si>
    <t>Document: 21180-Opstal en WA verzekering Kok - Polis 1-5-2022.pdf</t>
  </si>
  <si>
    <t>Aantal stemmen</t>
  </si>
  <si>
    <t>Meerderheid 
/2+1</t>
  </si>
  <si>
    <t>Stemmen</t>
  </si>
  <si>
    <t>Percentage
opkomst</t>
  </si>
  <si>
    <t>Wooninc</t>
  </si>
  <si>
    <t>In een vergadering, waarin minder dan de helft (209/2=104,5) van het in artikel 34 tweede lid bedoelde totaal aantal stemmen kan worden uitgebracht, kan geen geldig besluit worden genomen, ……….</t>
  </si>
  <si>
    <t>Kan op grond van het in de vorige zin bepaalde geen geldig besluit worden genomen, dan zal een nieuwe vergadering worden uitgeschreven. Artikel 38 zesde lid is van overeenkomstige toepassing.</t>
  </si>
  <si>
    <t>Twee derde</t>
  </si>
  <si>
    <t>Onderhoud dakveiligheid</t>
  </si>
  <si>
    <t>Tussen de 105 en 155 stemmen heeft Wooninc altijd een meerderheid</t>
  </si>
  <si>
    <t>Opstal en WA verzekering 1-1-2023</t>
  </si>
  <si>
    <t>Document: 21180-Meerkeuze polis CB incl. opstal-en-WA - polis 2023.pdf</t>
  </si>
  <si>
    <t xml:space="preserve">Onderhoudcontract droge blusleiding. </t>
  </si>
  <si>
    <t>21180 - Meerkeuze polis CB incl. opstal-eb-wa-ongevallen - Polisaanhangsel 2025 nav hertaxatie</t>
  </si>
  <si>
    <t>Verzekerd bedrag</t>
  </si>
  <si>
    <t>Type
appartement</t>
  </si>
  <si>
    <t>Verdeelsleutel / aandeel in de splitsing</t>
  </si>
  <si>
    <t>Aantal
apprtementen</t>
  </si>
  <si>
    <t>Totalen per type
appartement</t>
  </si>
  <si>
    <t>AD</t>
  </si>
  <si>
    <t>Percentage
van totaal</t>
  </si>
  <si>
    <t>m² per stuk</t>
  </si>
  <si>
    <t>Totaal m²</t>
  </si>
  <si>
    <t>Deze snap ik niet</t>
  </si>
  <si>
    <t>13e etage</t>
  </si>
  <si>
    <t>Geen terras</t>
  </si>
  <si>
    <t>Begroting 2025
per jaar</t>
  </si>
  <si>
    <t>Verschil 
per jaar</t>
  </si>
  <si>
    <t>Totaal
Verdeelbedrag</t>
  </si>
  <si>
    <t>Bedrag per app.
per m² perjaar</t>
  </si>
  <si>
    <t>terugontvangen energiebelasting 2018 - 2022</t>
  </si>
  <si>
    <t>terugontvangen energiebelasting 2023</t>
  </si>
  <si>
    <t>Onderhoudscontract W-installatie stelpost (CV-installatie)</t>
  </si>
  <si>
    <t>Onderhoud W-installatie stelpost (CV-Installatie)</t>
  </si>
  <si>
    <t>Reservering groot onderhoud (dotatie)</t>
  </si>
  <si>
    <t>93/95</t>
  </si>
  <si>
    <t>195/197</t>
  </si>
  <si>
    <t>229/231</t>
  </si>
  <si>
    <t>263/265</t>
  </si>
  <si>
    <t>247/249</t>
  </si>
  <si>
    <t>281/283</t>
  </si>
  <si>
    <t>365/367</t>
  </si>
  <si>
    <t>417/419</t>
  </si>
  <si>
    <t>ramen</t>
  </si>
  <si>
    <t>totaal</t>
  </si>
  <si>
    <t>Geen radiaor</t>
  </si>
  <si>
    <t>Radiatoren algemene ruimtes</t>
  </si>
  <si>
    <t>13 etage (Boeken)</t>
  </si>
  <si>
    <t>Aantal</t>
  </si>
  <si>
    <t>Beganegrond</t>
  </si>
  <si>
    <t>Badkamers</t>
  </si>
  <si>
    <t>(Slaap)kamer</t>
  </si>
  <si>
    <t>Trappenhuis 1/tm 12</t>
  </si>
  <si>
    <t>Oud papier</t>
  </si>
  <si>
    <t>Huismeester</t>
  </si>
  <si>
    <t>Fietsenstalling 1</t>
  </si>
  <si>
    <t>Fietsenstalling 2</t>
  </si>
  <si>
    <t>Fietsenstalling 3</t>
  </si>
  <si>
    <t>Vergader- hobbyruimte</t>
  </si>
  <si>
    <t>13 etage hal</t>
  </si>
  <si>
    <t>383/385</t>
  </si>
  <si>
    <t>315/317</t>
  </si>
  <si>
    <t>Zonder knop</t>
  </si>
  <si>
    <t>wordt geiinventariseerd</t>
  </si>
  <si>
    <t>zonder knop</t>
  </si>
  <si>
    <t>Met knop</t>
  </si>
  <si>
    <t>bad met knop</t>
  </si>
  <si>
    <t>bad zonder knop</t>
  </si>
  <si>
    <t>Aantal
app.</t>
  </si>
  <si>
    <t>Badkamer radiator</t>
  </si>
  <si>
    <r>
      <rPr>
        <sz val="12"/>
        <color theme="1"/>
        <rFont val="Calibri"/>
        <family val="2"/>
        <scheme val="minor"/>
      </rPr>
      <t xml:space="preserve">Badkamer radiator </t>
    </r>
    <r>
      <rPr>
        <b/>
        <sz val="12"/>
        <color theme="1"/>
        <rFont val="Calibri"/>
        <family val="2"/>
        <scheme val="minor"/>
      </rPr>
      <t>zonder knop</t>
    </r>
  </si>
  <si>
    <r>
      <rPr>
        <sz val="12"/>
        <color theme="1"/>
        <rFont val="Calibri"/>
        <family val="2"/>
        <scheme val="minor"/>
      </rPr>
      <t>Totaal aantal 
badkamer</t>
    </r>
    <r>
      <rPr>
        <b/>
        <sz val="12"/>
        <color theme="1"/>
        <rFont val="Calibri"/>
        <family val="2"/>
        <scheme val="minor"/>
      </rPr>
      <t xml:space="preserve"> </t>
    </r>
    <r>
      <rPr>
        <sz val="12"/>
        <color theme="1"/>
        <rFont val="Calibri"/>
        <family val="2"/>
        <scheme val="minor"/>
      </rPr>
      <t>radiators</t>
    </r>
    <r>
      <rPr>
        <b/>
        <sz val="12"/>
        <color theme="1"/>
        <rFont val="Calibri"/>
        <family val="2"/>
        <scheme val="minor"/>
      </rPr>
      <t xml:space="preserve"> 
zonder knop</t>
    </r>
  </si>
  <si>
    <r>
      <rPr>
        <sz val="12"/>
        <color theme="1"/>
        <rFont val="Calibri"/>
        <family val="2"/>
        <scheme val="minor"/>
      </rPr>
      <t>Totaal aantal badkamer radiators</t>
    </r>
    <r>
      <rPr>
        <b/>
        <sz val="12"/>
        <color theme="1"/>
        <rFont val="Calibri"/>
        <family val="2"/>
        <scheme val="minor"/>
      </rPr>
      <t xml:space="preserve"> 
met knop</t>
    </r>
  </si>
  <si>
    <r>
      <rPr>
        <sz val="12"/>
        <color theme="1"/>
        <rFont val="Calibri"/>
        <family val="2"/>
        <scheme val="minor"/>
      </rPr>
      <t xml:space="preserve">Aantal radiators onder ramen 
</t>
    </r>
    <r>
      <rPr>
        <b/>
        <sz val="12"/>
        <color theme="1"/>
        <rFont val="Calibri"/>
        <family val="2"/>
        <scheme val="minor"/>
      </rPr>
      <t>met knop</t>
    </r>
  </si>
  <si>
    <r>
      <rPr>
        <sz val="12"/>
        <color theme="1"/>
        <rFont val="Calibri"/>
        <family val="2"/>
        <scheme val="minor"/>
      </rPr>
      <t>Totaal radiators</t>
    </r>
    <r>
      <rPr>
        <b/>
        <sz val="12"/>
        <color theme="1"/>
        <rFont val="Calibri"/>
        <family val="2"/>
        <scheme val="minor"/>
      </rPr>
      <t xml:space="preserve"> met knop</t>
    </r>
  </si>
  <si>
    <t>Kolom1</t>
  </si>
  <si>
    <t>1 verwarming kan niet gebruikt worden omdat deze lekt</t>
  </si>
  <si>
    <t>Berkvens</t>
  </si>
  <si>
    <t>c de jong-vles</t>
  </si>
  <si>
    <t>GL</t>
  </si>
  <si>
    <t>Kolom2</t>
  </si>
  <si>
    <t>Rechts</t>
  </si>
  <si>
    <t>?</t>
  </si>
  <si>
    <t>Clememt de Laat</t>
  </si>
  <si>
    <t>Hegener</t>
  </si>
  <si>
    <t>Mengelers</t>
  </si>
  <si>
    <t>Boelens</t>
  </si>
  <si>
    <t>Ros</t>
  </si>
  <si>
    <t>Wooninq</t>
  </si>
  <si>
    <t>Netty vd Boogaart</t>
  </si>
  <si>
    <t>Premie ongevallenverzekering</t>
  </si>
  <si>
    <t>Onderhoud bliksemafleidingsinstallatie</t>
  </si>
  <si>
    <t>Controle energiebelasting 2018-2022</t>
  </si>
  <si>
    <t>Controle energiebelasting 2023</t>
  </si>
  <si>
    <t>Totaal energie kosten</t>
  </si>
  <si>
    <t>Percentage
Totaal
Kosten</t>
  </si>
  <si>
    <t>Percentage
t.o.v. rubriek</t>
  </si>
  <si>
    <r>
      <t>Energiekosten gasverbruik vast i</t>
    </r>
    <r>
      <rPr>
        <sz val="12"/>
        <color theme="1"/>
        <rFont val="Calibri (Hoofdtekst)"/>
      </rPr>
      <t>ncl. warm water</t>
    </r>
  </si>
  <si>
    <t>Totaal  Nuts in rubriek D</t>
  </si>
  <si>
    <t>B en C is 1 
rubriek
beschermd wonen</t>
  </si>
  <si>
    <t>Energie kosten</t>
  </si>
  <si>
    <t>Rubriek B en C</t>
  </si>
  <si>
    <t>Totaal kosten rubriek B en C</t>
  </si>
  <si>
    <t>electra kosten 2025</t>
  </si>
  <si>
    <t>algemene ruimten</t>
  </si>
  <si>
    <t>Grootboek</t>
  </si>
  <si>
    <t>Calamiteitenzorg (zorgkastje)</t>
  </si>
  <si>
    <t>Bedrijfs Hulp Verlening (BHV kosten)</t>
  </si>
  <si>
    <t>Onderhoud alarmapparatuur (zorgalarmering) BHV</t>
  </si>
  <si>
    <t>Totaal
Begroting-2027</t>
  </si>
  <si>
    <t>kosten brandmeldinstallatie</t>
  </si>
  <si>
    <t>verschil 2026 tov 2027</t>
  </si>
  <si>
    <t>Serevicekosten 2026</t>
  </si>
  <si>
    <t>Totaal service kosten 2027</t>
  </si>
  <si>
    <t xml:space="preserve"> appartementen</t>
  </si>
  <si>
    <t>Begroting Service kosten [Voorschotbijdrage]
 begroting2027</t>
  </si>
  <si>
    <t>Verzekeringen</t>
  </si>
  <si>
    <t>Verzekeringen totaal</t>
  </si>
  <si>
    <t>Onderhoud</t>
  </si>
  <si>
    <t>Dotatie</t>
  </si>
  <si>
    <t>Kosten</t>
  </si>
  <si>
    <t>Totaal kosten</t>
  </si>
  <si>
    <t>Gas/water/elektra</t>
  </si>
  <si>
    <t>Totaal servicekosten - opbrengsten</t>
  </si>
  <si>
    <t>Totaal Gas/water/elektra</t>
  </si>
  <si>
    <t>Totaal onderhoud</t>
  </si>
  <si>
    <t>Eigenaarslasten Energie</t>
  </si>
  <si>
    <t>B+C</t>
  </si>
  <si>
    <t>Eigenaarslasten beschermd wonen</t>
  </si>
  <si>
    <t>Totaal rubriek A + D + (B en C)</t>
  </si>
  <si>
    <t>App. A p/jaar</t>
  </si>
  <si>
    <t>App. A p/mnd</t>
  </si>
  <si>
    <t>% tov rubriek</t>
  </si>
  <si>
    <t>% tov totaal</t>
  </si>
  <si>
    <t>Som van 2027</t>
  </si>
  <si>
    <t>Som van 2025</t>
  </si>
  <si>
    <t>Som van 2024</t>
  </si>
  <si>
    <t>Som van 2022</t>
  </si>
  <si>
    <t>Som van 2023</t>
  </si>
  <si>
    <t>Som van 2026</t>
  </si>
  <si>
    <t>Controle energiebelasting 2024</t>
  </si>
  <si>
    <t>terugontvangen energiebelasting 2025</t>
  </si>
  <si>
    <t>ex btw</t>
  </si>
  <si>
    <t>btw</t>
  </si>
  <si>
    <t>incl btw</t>
  </si>
  <si>
    <t>*</t>
  </si>
  <si>
    <t>vanaf 1-8-2026 via voorschot per maand</t>
  </si>
  <si>
    <t>Controle energiebelasting 2025</t>
  </si>
  <si>
    <r>
      <t>Energiekosten gasverbruik</t>
    </r>
    <r>
      <rPr>
        <b/>
        <sz val="12"/>
        <color theme="1"/>
        <rFont val="Calibri"/>
        <family val="2"/>
        <scheme val="minor"/>
      </rPr>
      <t xml:space="preserve"> (VIA VOORSCHOT)</t>
    </r>
  </si>
  <si>
    <r>
      <t xml:space="preserve">Energiekosten elektraverbruik </t>
    </r>
    <r>
      <rPr>
        <b/>
        <sz val="12"/>
        <color theme="1"/>
        <rFont val="Calibri"/>
        <family val="2"/>
        <scheme val="minor"/>
      </rPr>
      <t>(ALGEMENE RUIMTES)</t>
    </r>
  </si>
  <si>
    <t>terugontvangen energiebelasting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</si>
</sst>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4" formatCode="_(&quot;€&quot;\ * #,##0.00_);_(&quot;€&quot;\ * \(#,##0.00\);_(&quot;€&quot;\ * &quot;-&quot;??_);_(@_)"/>
    <numFmt numFmtId="164" formatCode="_([$€-2]\ * #,##0.00_);_([$€-2]\ * \(#,##0.00\);_([$€-2]\ * &quot;-&quot;??_);_(@_)"/>
    <numFmt numFmtId="165" formatCode="0.0000"/>
    <numFmt numFmtId="166" formatCode="&quot;€&quot;\ #,##0"/>
    <numFmt numFmtId="167" formatCode="_([$€-2]\ * #,##0_);_([$€-2]\ * \(#,##0\);_([$€-2]\ * &quot;-&quot;??_);_(@_)"/>
    <numFmt numFmtId="168" formatCode="_(&quot;€&quot;\ * #,##0_);_(&quot;€&quot;\ * \(#,##0\);_(&quot;€&quot;\ * &quot;-&quot;??_);_(@_)"/>
  </numFmts>
  <fonts count="24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rgb="FFFF0000"/>
      <name val="Calibri"/>
      <family val="2"/>
      <scheme val="minor"/>
    </font>
    <font>
      <b/>
      <sz val="13"/>
      <color rgb="FF000000"/>
      <name val="Inherit"/>
    </font>
    <font>
      <sz val="13"/>
      <color rgb="FF000000"/>
      <name val="Arial"/>
      <family val="2"/>
    </font>
    <font>
      <b/>
      <sz val="13"/>
      <color rgb="FF000000"/>
      <name val="Arial"/>
      <family val="2"/>
    </font>
    <font>
      <sz val="13"/>
      <color rgb="FFFF0000"/>
      <name val="Arial"/>
      <family val="2"/>
    </font>
    <font>
      <sz val="9"/>
      <color rgb="FF333333"/>
      <name val="Helvetica"/>
      <family val="2"/>
    </font>
    <font>
      <b/>
      <sz val="12"/>
      <color rgb="FFFF0000"/>
      <name val="Calibri"/>
      <family val="2"/>
      <scheme val="minor"/>
    </font>
    <font>
      <sz val="12"/>
      <color theme="2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color theme="1"/>
      <name val="AppleSystemUIFont"/>
    </font>
    <font>
      <b/>
      <sz val="12"/>
      <color rgb="FFFFFFFF"/>
      <name val="Calibri"/>
      <family val="2"/>
      <scheme val="minor"/>
    </font>
    <font>
      <sz val="12"/>
      <color rgb="FFFFFFFF"/>
      <name val="Calibri"/>
      <family val="2"/>
      <scheme val="minor"/>
    </font>
    <font>
      <sz val="12"/>
      <name val="Calibri"/>
      <family val="2"/>
      <scheme val="minor"/>
    </font>
    <font>
      <sz val="8"/>
      <name val="Calibri"/>
      <family val="2"/>
      <scheme val="minor"/>
    </font>
    <font>
      <b/>
      <sz val="12"/>
      <color theme="9"/>
      <name val="Calibri"/>
      <family val="2"/>
      <scheme val="minor"/>
    </font>
    <font>
      <sz val="12"/>
      <color theme="1"/>
      <name val="Calibri (Hoofdtekst)"/>
    </font>
    <font>
      <sz val="10"/>
      <color rgb="FF000000"/>
      <name val="Tahoma"/>
      <family val="2"/>
    </font>
    <font>
      <b/>
      <sz val="10"/>
      <color rgb="FF000000"/>
      <name val="Tahoma"/>
      <family val="2"/>
    </font>
    <font>
      <sz val="12"/>
      <color rgb="FF000000"/>
      <name val="Calibri"/>
      <family val="2"/>
      <scheme val="minor"/>
    </font>
    <font>
      <sz val="12"/>
      <color rgb="FFC00000"/>
      <name val="Calibri"/>
      <family val="2"/>
      <scheme val="minor"/>
    </font>
    <font>
      <b/>
      <sz val="12"/>
      <color rgb="FFC00000"/>
      <name val="Calibri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7" tint="0.79998168889431442"/>
        <bgColor indexed="64"/>
      </patternFill>
    </fill>
  </fills>
  <borders count="2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3">
    <xf numFmtId="0" fontId="0" fillId="0" borderId="0"/>
    <xf numFmtId="9" fontId="11" fillId="0" borderId="0" applyFont="0" applyFill="0" applyBorder="0" applyAlignment="0" applyProtection="0"/>
    <xf numFmtId="44" fontId="11" fillId="0" borderId="0" applyFont="0" applyFill="0" applyBorder="0" applyAlignment="0" applyProtection="0"/>
  </cellStyleXfs>
  <cellXfs count="156">
    <xf numFmtId="0" fontId="0" fillId="0" borderId="0" xfId="0"/>
    <xf numFmtId="0" fontId="1" fillId="0" borderId="0" xfId="0" applyFont="1"/>
    <xf numFmtId="164" fontId="0" fillId="0" borderId="0" xfId="0" applyNumberFormat="1"/>
    <xf numFmtId="164" fontId="1" fillId="0" borderId="0" xfId="0" applyNumberFormat="1" applyFont="1"/>
    <xf numFmtId="0" fontId="0" fillId="0" borderId="0" xfId="0" applyAlignment="1">
      <alignment vertical="top"/>
    </xf>
    <xf numFmtId="0" fontId="1" fillId="0" borderId="0" xfId="0" applyFont="1" applyAlignment="1">
      <alignment vertical="top"/>
    </xf>
    <xf numFmtId="0" fontId="0" fillId="0" borderId="0" xfId="0" applyAlignment="1">
      <alignment horizontal="left"/>
    </xf>
    <xf numFmtId="0" fontId="0" fillId="2" borderId="0" xfId="0" applyFill="1"/>
    <xf numFmtId="0" fontId="0" fillId="0" borderId="0" xfId="0" applyAlignment="1">
      <alignment wrapText="1"/>
    </xf>
    <xf numFmtId="0" fontId="3" fillId="0" borderId="0" xfId="0" applyFont="1"/>
    <xf numFmtId="0" fontId="6" fillId="0" borderId="0" xfId="0" applyFont="1"/>
    <xf numFmtId="0" fontId="2" fillId="0" borderId="0" xfId="0" applyFont="1"/>
    <xf numFmtId="0" fontId="3" fillId="0" borderId="0" xfId="0" applyFont="1" applyAlignment="1">
      <alignment vertical="center"/>
    </xf>
    <xf numFmtId="0" fontId="0" fillId="0" borderId="0" xfId="0" applyAlignment="1">
      <alignment vertical="center"/>
    </xf>
    <xf numFmtId="0" fontId="6" fillId="0" borderId="0" xfId="0" applyFont="1" applyAlignment="1">
      <alignment vertical="center"/>
    </xf>
    <xf numFmtId="0" fontId="1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4" fillId="0" borderId="0" xfId="0" applyFont="1"/>
    <xf numFmtId="165" fontId="1" fillId="0" borderId="0" xfId="0" applyNumberFormat="1" applyFont="1" applyAlignment="1">
      <alignment horizontal="left"/>
    </xf>
    <xf numFmtId="0" fontId="7" fillId="0" borderId="0" xfId="0" applyFont="1"/>
    <xf numFmtId="0" fontId="0" fillId="0" borderId="4" xfId="0" applyBorder="1" applyAlignment="1">
      <alignment vertical="top"/>
    </xf>
    <xf numFmtId="0" fontId="0" fillId="0" borderId="5" xfId="0" applyBorder="1" applyAlignment="1">
      <alignment vertical="top"/>
    </xf>
    <xf numFmtId="0" fontId="0" fillId="0" borderId="4" xfId="0" applyBorder="1"/>
    <xf numFmtId="0" fontId="0" fillId="0" borderId="5" xfId="0" applyBorder="1"/>
    <xf numFmtId="164" fontId="0" fillId="0" borderId="4" xfId="0" applyNumberFormat="1" applyBorder="1"/>
    <xf numFmtId="164" fontId="1" fillId="0" borderId="4" xfId="0" applyNumberFormat="1" applyFont="1" applyBorder="1"/>
    <xf numFmtId="164" fontId="1" fillId="0" borderId="5" xfId="0" applyNumberFormat="1" applyFont="1" applyBorder="1"/>
    <xf numFmtId="164" fontId="0" fillId="0" borderId="5" xfId="0" applyNumberFormat="1" applyBorder="1"/>
    <xf numFmtId="0" fontId="1" fillId="0" borderId="4" xfId="0" applyFont="1" applyBorder="1"/>
    <xf numFmtId="0" fontId="1" fillId="0" borderId="5" xfId="0" applyFont="1" applyBorder="1"/>
    <xf numFmtId="164" fontId="1" fillId="0" borderId="7" xfId="0" applyNumberFormat="1" applyFont="1" applyBorder="1"/>
    <xf numFmtId="164" fontId="1" fillId="0" borderId="6" xfId="0" applyNumberFormat="1" applyFont="1" applyBorder="1"/>
    <xf numFmtId="0" fontId="0" fillId="0" borderId="0" xfId="0" applyAlignment="1">
      <alignment horizontal="left" vertical="top"/>
    </xf>
    <xf numFmtId="0" fontId="1" fillId="0" borderId="3" xfId="0" applyFont="1" applyBorder="1" applyAlignment="1">
      <alignment horizontal="left" vertical="top" wrapText="1"/>
    </xf>
    <xf numFmtId="0" fontId="1" fillId="0" borderId="2" xfId="0" applyFont="1" applyBorder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8" fillId="0" borderId="0" xfId="0" applyFont="1"/>
    <xf numFmtId="0" fontId="0" fillId="0" borderId="2" xfId="0" applyBorder="1"/>
    <xf numFmtId="0" fontId="0" fillId="0" borderId="8" xfId="0" applyBorder="1"/>
    <xf numFmtId="0" fontId="0" fillId="0" borderId="10" xfId="0" applyBorder="1"/>
    <xf numFmtId="0" fontId="1" fillId="0" borderId="11" xfId="0" applyFont="1" applyBorder="1"/>
    <xf numFmtId="0" fontId="0" fillId="0" borderId="0" xfId="0" applyAlignment="1">
      <alignment vertical="top" wrapText="1"/>
    </xf>
    <xf numFmtId="0" fontId="0" fillId="0" borderId="12" xfId="0" applyBorder="1"/>
    <xf numFmtId="0" fontId="0" fillId="0" borderId="13" xfId="0" applyBorder="1"/>
    <xf numFmtId="0" fontId="0" fillId="0" borderId="11" xfId="0" applyBorder="1"/>
    <xf numFmtId="164" fontId="0" fillId="0" borderId="11" xfId="0" applyNumberFormat="1" applyBorder="1"/>
    <xf numFmtId="0" fontId="0" fillId="0" borderId="1" xfId="0" applyBorder="1"/>
    <xf numFmtId="0" fontId="9" fillId="0" borderId="13" xfId="0" applyFont="1" applyBorder="1"/>
    <xf numFmtId="0" fontId="1" fillId="0" borderId="8" xfId="0" applyFont="1" applyBorder="1" applyAlignment="1">
      <alignment horizontal="left" vertical="top" wrapText="1"/>
    </xf>
    <xf numFmtId="164" fontId="1" fillId="0" borderId="9" xfId="0" applyNumberFormat="1" applyFont="1" applyBorder="1"/>
    <xf numFmtId="0" fontId="4" fillId="2" borderId="0" xfId="0" applyFont="1" applyFill="1" applyAlignment="1">
      <alignment vertical="center"/>
    </xf>
    <xf numFmtId="0" fontId="5" fillId="0" borderId="0" xfId="0" applyFont="1" applyAlignment="1">
      <alignment vertical="center"/>
    </xf>
    <xf numFmtId="0" fontId="5" fillId="2" borderId="0" xfId="0" applyFont="1" applyFill="1" applyAlignment="1">
      <alignment vertical="top"/>
    </xf>
    <xf numFmtId="0" fontId="4" fillId="2" borderId="0" xfId="0" applyFont="1" applyFill="1" applyAlignment="1">
      <alignment vertical="top"/>
    </xf>
    <xf numFmtId="0" fontId="5" fillId="2" borderId="0" xfId="0" applyFont="1" applyFill="1" applyAlignment="1">
      <alignment vertical="center"/>
    </xf>
    <xf numFmtId="0" fontId="1" fillId="4" borderId="0" xfId="0" applyFont="1" applyFill="1"/>
    <xf numFmtId="3" fontId="1" fillId="0" borderId="11" xfId="0" applyNumberFormat="1" applyFont="1" applyBorder="1"/>
    <xf numFmtId="164" fontId="1" fillId="3" borderId="0" xfId="0" applyNumberFormat="1" applyFont="1" applyFill="1"/>
    <xf numFmtId="164" fontId="0" fillId="0" borderId="0" xfId="0" applyNumberFormat="1" applyAlignment="1">
      <alignment vertical="center"/>
    </xf>
    <xf numFmtId="0" fontId="1" fillId="0" borderId="11" xfId="0" applyFont="1" applyBorder="1" applyAlignment="1">
      <alignment wrapText="1"/>
    </xf>
    <xf numFmtId="164" fontId="0" fillId="3" borderId="14" xfId="0" applyNumberFormat="1" applyFill="1" applyBorder="1"/>
    <xf numFmtId="164" fontId="0" fillId="0" borderId="10" xfId="0" applyNumberFormat="1" applyBorder="1"/>
    <xf numFmtId="0" fontId="0" fillId="0" borderId="14" xfId="0" applyBorder="1"/>
    <xf numFmtId="0" fontId="0" fillId="0" borderId="11" xfId="0" applyBorder="1" applyAlignment="1">
      <alignment wrapText="1"/>
    </xf>
    <xf numFmtId="0" fontId="0" fillId="0" borderId="8" xfId="0" applyBorder="1" applyAlignment="1">
      <alignment wrapText="1"/>
    </xf>
    <xf numFmtId="164" fontId="0" fillId="0" borderId="8" xfId="0" applyNumberFormat="1" applyBorder="1"/>
    <xf numFmtId="9" fontId="0" fillId="0" borderId="0" xfId="0" applyNumberFormat="1"/>
    <xf numFmtId="10" fontId="0" fillId="0" borderId="0" xfId="1" applyNumberFormat="1" applyFont="1"/>
    <xf numFmtId="0" fontId="1" fillId="0" borderId="0" xfId="0" applyFont="1" applyAlignment="1">
      <alignment wrapText="1"/>
    </xf>
    <xf numFmtId="0" fontId="1" fillId="0" borderId="0" xfId="0" applyFont="1" applyAlignment="1">
      <alignment vertical="top" wrapText="1"/>
    </xf>
    <xf numFmtId="0" fontId="12" fillId="0" borderId="0" xfId="0" applyFont="1" applyAlignment="1">
      <alignment vertical="center"/>
    </xf>
    <xf numFmtId="10" fontId="2" fillId="0" borderId="0" xfId="1" applyNumberFormat="1" applyFont="1"/>
    <xf numFmtId="1" fontId="0" fillId="0" borderId="0" xfId="0" applyNumberFormat="1"/>
    <xf numFmtId="164" fontId="2" fillId="0" borderId="0" xfId="0" applyNumberFormat="1" applyFont="1"/>
    <xf numFmtId="10" fontId="1" fillId="0" borderId="0" xfId="1" applyNumberFormat="1" applyFont="1"/>
    <xf numFmtId="0" fontId="1" fillId="0" borderId="10" xfId="0" applyFont="1" applyBorder="1" applyAlignment="1">
      <alignment wrapText="1"/>
    </xf>
    <xf numFmtId="164" fontId="0" fillId="0" borderId="10" xfId="0" applyNumberFormat="1" applyBorder="1" applyAlignment="1">
      <alignment wrapText="1"/>
    </xf>
    <xf numFmtId="0" fontId="0" fillId="0" borderId="14" xfId="0" applyBorder="1" applyAlignment="1">
      <alignment wrapText="1"/>
    </xf>
    <xf numFmtId="9" fontId="0" fillId="0" borderId="0" xfId="1" applyFont="1" applyAlignment="1">
      <alignment horizontal="center"/>
    </xf>
    <xf numFmtId="0" fontId="0" fillId="0" borderId="0" xfId="0" applyAlignment="1">
      <alignment horizontal="right"/>
    </xf>
    <xf numFmtId="3" fontId="0" fillId="0" borderId="0" xfId="0" applyNumberFormat="1" applyAlignment="1">
      <alignment horizontal="right"/>
    </xf>
    <xf numFmtId="0" fontId="13" fillId="0" borderId="0" xfId="0" applyFont="1" applyAlignment="1">
      <alignment wrapText="1"/>
    </xf>
    <xf numFmtId="0" fontId="14" fillId="0" borderId="0" xfId="0" applyFont="1"/>
    <xf numFmtId="44" fontId="14" fillId="0" borderId="0" xfId="0" applyNumberFormat="1" applyFont="1" applyAlignment="1">
      <alignment horizontal="left"/>
    </xf>
    <xf numFmtId="44" fontId="14" fillId="0" borderId="0" xfId="2" applyFont="1"/>
    <xf numFmtId="44" fontId="14" fillId="0" borderId="0" xfId="0" applyNumberFormat="1" applyFont="1"/>
    <xf numFmtId="0" fontId="13" fillId="0" borderId="0" xfId="0" applyFont="1"/>
    <xf numFmtId="0" fontId="1" fillId="0" borderId="15" xfId="0" applyFont="1" applyBorder="1" applyAlignment="1">
      <alignment wrapText="1"/>
    </xf>
    <xf numFmtId="0" fontId="1" fillId="0" borderId="16" xfId="0" applyFont="1" applyBorder="1" applyAlignment="1">
      <alignment wrapText="1"/>
    </xf>
    <xf numFmtId="0" fontId="0" fillId="0" borderId="15" xfId="0" applyBorder="1"/>
    <xf numFmtId="0" fontId="0" fillId="0" borderId="16" xfId="0" applyBorder="1"/>
    <xf numFmtId="0" fontId="1" fillId="0" borderId="15" xfId="0" applyFont="1" applyBorder="1"/>
    <xf numFmtId="0" fontId="0" fillId="0" borderId="17" xfId="0" applyBorder="1"/>
    <xf numFmtId="0" fontId="0" fillId="0" borderId="18" xfId="0" applyBorder="1"/>
    <xf numFmtId="0" fontId="0" fillId="0" borderId="19" xfId="0" applyBorder="1"/>
    <xf numFmtId="0" fontId="0" fillId="0" borderId="16" xfId="0" applyBorder="1" applyAlignment="1">
      <alignment horizontal="right"/>
    </xf>
    <xf numFmtId="0" fontId="0" fillId="0" borderId="20" xfId="0" applyBorder="1" applyAlignment="1">
      <alignment horizontal="right"/>
    </xf>
    <xf numFmtId="0" fontId="0" fillId="0" borderId="20" xfId="0" applyBorder="1"/>
    <xf numFmtId="0" fontId="0" fillId="0" borderId="21" xfId="0" applyBorder="1"/>
    <xf numFmtId="0" fontId="1" fillId="0" borderId="20" xfId="0" applyFont="1" applyBorder="1" applyAlignment="1">
      <alignment wrapText="1"/>
    </xf>
    <xf numFmtId="9" fontId="0" fillId="0" borderId="0" xfId="1" applyFont="1"/>
    <xf numFmtId="0" fontId="0" fillId="0" borderId="0" xfId="0" applyAlignment="1">
      <alignment vertical="center" wrapText="1"/>
    </xf>
    <xf numFmtId="9" fontId="1" fillId="0" borderId="0" xfId="1" applyFont="1" applyBorder="1"/>
    <xf numFmtId="10" fontId="1" fillId="0" borderId="0" xfId="0" applyNumberFormat="1" applyFont="1"/>
    <xf numFmtId="10" fontId="17" fillId="0" borderId="0" xfId="1" applyNumberFormat="1" applyFont="1"/>
    <xf numFmtId="0" fontId="1" fillId="5" borderId="0" xfId="0" applyFont="1" applyFill="1" applyAlignment="1">
      <alignment horizontal="left" vertical="top" wrapText="1"/>
    </xf>
    <xf numFmtId="0" fontId="1" fillId="6" borderId="0" xfId="0" applyFont="1" applyFill="1" applyAlignment="1">
      <alignment horizontal="left" vertical="top" wrapText="1"/>
    </xf>
    <xf numFmtId="0" fontId="0" fillId="6" borderId="0" xfId="0" applyFill="1" applyAlignment="1">
      <alignment horizontal="left" vertical="top" wrapText="1"/>
    </xf>
    <xf numFmtId="0" fontId="17" fillId="0" borderId="0" xfId="0" applyFont="1"/>
    <xf numFmtId="44" fontId="1" fillId="0" borderId="0" xfId="2" applyFont="1"/>
    <xf numFmtId="44" fontId="1" fillId="0" borderId="0" xfId="0" applyNumberFormat="1" applyFont="1"/>
    <xf numFmtId="0" fontId="1" fillId="7" borderId="0" xfId="0" applyFont="1" applyFill="1"/>
    <xf numFmtId="0" fontId="1" fillId="0" borderId="0" xfId="0" applyFont="1" applyAlignment="1">
      <alignment horizontal="center"/>
    </xf>
    <xf numFmtId="44" fontId="0" fillId="0" borderId="0" xfId="2" applyFont="1"/>
    <xf numFmtId="164" fontId="1" fillId="2" borderId="0" xfId="0" applyNumberFormat="1" applyFont="1" applyFill="1"/>
    <xf numFmtId="0" fontId="1" fillId="2" borderId="0" xfId="0" applyFont="1" applyFill="1"/>
    <xf numFmtId="44" fontId="1" fillId="2" borderId="0" xfId="2" applyFont="1" applyFill="1"/>
    <xf numFmtId="44" fontId="1" fillId="0" borderId="0" xfId="2" applyFont="1" applyFill="1"/>
    <xf numFmtId="164" fontId="0" fillId="2" borderId="0" xfId="0" applyNumberFormat="1" applyFill="1"/>
    <xf numFmtId="0" fontId="1" fillId="0" borderId="0" xfId="0" quotePrefix="1" applyFont="1"/>
    <xf numFmtId="9" fontId="1" fillId="0" borderId="0" xfId="1" applyFont="1"/>
    <xf numFmtId="9" fontId="0" fillId="2" borderId="0" xfId="1" applyFont="1" applyFill="1"/>
    <xf numFmtId="9" fontId="0" fillId="2" borderId="0" xfId="0" applyNumberFormat="1" applyFill="1"/>
    <xf numFmtId="44" fontId="21" fillId="0" borderId="0" xfId="2" applyFont="1"/>
    <xf numFmtId="164" fontId="21" fillId="0" borderId="0" xfId="0" applyNumberFormat="1" applyFont="1"/>
    <xf numFmtId="0" fontId="0" fillId="0" borderId="0" xfId="0" pivotButton="1"/>
    <xf numFmtId="166" fontId="0" fillId="0" borderId="0" xfId="0" applyNumberFormat="1"/>
    <xf numFmtId="164" fontId="22" fillId="0" borderId="0" xfId="0" applyNumberFormat="1" applyFont="1"/>
    <xf numFmtId="164" fontId="23" fillId="0" borderId="0" xfId="0" applyNumberFormat="1" applyFont="1"/>
    <xf numFmtId="44" fontId="22" fillId="0" borderId="0" xfId="2" applyFont="1"/>
    <xf numFmtId="167" fontId="0" fillId="0" borderId="0" xfId="0" applyNumberFormat="1"/>
    <xf numFmtId="168" fontId="0" fillId="0" borderId="0" xfId="2" applyNumberFormat="1" applyFont="1"/>
    <xf numFmtId="167" fontId="0" fillId="8" borderId="0" xfId="0" applyNumberFormat="1" applyFill="1"/>
    <xf numFmtId="167" fontId="15" fillId="8" borderId="0" xfId="0" applyNumberFormat="1" applyFont="1" applyFill="1"/>
    <xf numFmtId="167" fontId="0" fillId="3" borderId="0" xfId="0" applyNumberFormat="1" applyFill="1"/>
    <xf numFmtId="0" fontId="1" fillId="0" borderId="0" xfId="0" applyFont="1" applyAlignment="1">
      <alignment horizontal="left" wrapText="1"/>
    </xf>
    <xf numFmtId="0" fontId="1" fillId="0" borderId="9" xfId="0" applyFont="1" applyBorder="1" applyAlignment="1">
      <alignment vertical="top" wrapText="1"/>
    </xf>
    <xf numFmtId="0" fontId="0" fillId="0" borderId="9" xfId="0" applyBorder="1" applyAlignment="1">
      <alignment vertical="top"/>
    </xf>
    <xf numFmtId="0" fontId="0" fillId="0" borderId="0" xfId="0" applyAlignment="1">
      <alignment wrapText="1"/>
    </xf>
    <xf numFmtId="0" fontId="0" fillId="0" borderId="0" xfId="0"/>
    <xf numFmtId="0" fontId="10" fillId="0" borderId="9" xfId="0" applyFont="1" applyBorder="1" applyAlignment="1">
      <alignment horizontal="center" wrapText="1"/>
    </xf>
    <xf numFmtId="0" fontId="0" fillId="0" borderId="10" xfId="0" applyBorder="1"/>
    <xf numFmtId="0" fontId="0" fillId="0" borderId="11" xfId="0" applyBorder="1"/>
    <xf numFmtId="0" fontId="0" fillId="0" borderId="14" xfId="0" applyBorder="1"/>
    <xf numFmtId="0" fontId="1" fillId="0" borderId="0" xfId="0" applyFont="1" applyAlignment="1">
      <alignment horizontal="center"/>
    </xf>
    <xf numFmtId="0" fontId="10" fillId="0" borderId="0" xfId="0" applyFont="1" applyAlignment="1">
      <alignment horizontal="center"/>
    </xf>
    <xf numFmtId="0" fontId="1" fillId="0" borderId="22" xfId="0" applyFont="1" applyBorder="1" applyAlignment="1">
      <alignment horizontal="center"/>
    </xf>
    <xf numFmtId="0" fontId="1" fillId="0" borderId="24" xfId="0" applyFont="1" applyBorder="1" applyAlignment="1">
      <alignment horizontal="center"/>
    </xf>
    <xf numFmtId="0" fontId="1" fillId="0" borderId="23" xfId="0" applyFont="1" applyBorder="1" applyAlignment="1">
      <alignment horizontal="center"/>
    </xf>
    <xf numFmtId="0" fontId="10" fillId="0" borderId="8" xfId="0" applyFont="1" applyBorder="1" applyAlignment="1">
      <alignment horizontal="center"/>
    </xf>
    <xf numFmtId="0" fontId="4" fillId="0" borderId="0" xfId="0" applyFont="1" applyAlignment="1">
      <alignment horizontal="left" vertical="center"/>
    </xf>
    <xf numFmtId="0" fontId="0" fillId="0" borderId="0" xfId="0" applyFont="1"/>
    <xf numFmtId="164" fontId="0" fillId="0" borderId="4" xfId="0" applyNumberFormat="1" applyFont="1" applyBorder="1"/>
    <xf numFmtId="164" fontId="0" fillId="0" borderId="5" xfId="0" applyNumberFormat="1" applyFont="1" applyBorder="1"/>
    <xf numFmtId="164" fontId="0" fillId="0" borderId="0" xfId="0" applyNumberFormat="1" applyFont="1"/>
    <xf numFmtId="10" fontId="11" fillId="0" borderId="0" xfId="1" applyNumberFormat="1" applyFont="1"/>
  </cellXfs>
  <cellStyles count="3">
    <cellStyle name="Procent" xfId="1" builtinId="5"/>
    <cellStyle name="Standaard" xfId="0" builtinId="0"/>
    <cellStyle name="Valuta" xfId="2" builtinId="4"/>
  </cellStyles>
  <dxfs count="2">
    <dxf>
      <numFmt numFmtId="166" formatCode="&quot;€&quot;\ #,##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</dxf>
  </dxfs>
  <tableStyles count="0" defaultTableStyle="TableStyleMedium2" defaultPivotStyle="PivotStyleLight16"/>
  <colors>
    <mruColors>
      <color rgb="FFFF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pivotCacheDefinition" Target="pivotCache/pivotCacheDefinition1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eetMetadata" Target="metadata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6" Type="http://schemas.openxmlformats.org/officeDocument/2006/relationships/image" Target="../media/image6.png"/><Relationship Id="rId5" Type="http://schemas.openxmlformats.org/officeDocument/2006/relationships/image" Target="../media/image5.png"/><Relationship Id="rId4" Type="http://schemas.openxmlformats.org/officeDocument/2006/relationships/image" Target="../media/image4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30</xdr:row>
      <xdr:rowOff>161636</xdr:rowOff>
    </xdr:from>
    <xdr:to>
      <xdr:col>7</xdr:col>
      <xdr:colOff>561503</xdr:colOff>
      <xdr:row>45</xdr:row>
      <xdr:rowOff>53088</xdr:rowOff>
    </xdr:to>
    <xdr:pic>
      <xdr:nvPicPr>
        <xdr:cNvPr id="2" name="Afbeelding 1">
          <a:extLst>
            <a:ext uri="{FF2B5EF4-FFF2-40B4-BE49-F238E27FC236}">
              <a16:creationId xmlns:a16="http://schemas.microsoft.com/office/drawing/2014/main" id="{D7ED2858-0622-645E-D78B-8E5348C9DD8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527636"/>
          <a:ext cx="7569594" cy="3447452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64</xdr:row>
      <xdr:rowOff>46182</xdr:rowOff>
    </xdr:from>
    <xdr:to>
      <xdr:col>6</xdr:col>
      <xdr:colOff>184727</xdr:colOff>
      <xdr:row>72</xdr:row>
      <xdr:rowOff>0</xdr:rowOff>
    </xdr:to>
    <xdr:pic>
      <xdr:nvPicPr>
        <xdr:cNvPr id="3" name="Afbeelding 2">
          <a:extLst>
            <a:ext uri="{FF2B5EF4-FFF2-40B4-BE49-F238E27FC236}">
              <a16:creationId xmlns:a16="http://schemas.microsoft.com/office/drawing/2014/main" id="{69E9EC24-6789-BD4E-8B1F-F845AC0743F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13912273"/>
          <a:ext cx="6361545" cy="1616363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74</xdr:row>
      <xdr:rowOff>0</xdr:rowOff>
    </xdr:from>
    <xdr:to>
      <xdr:col>8</xdr:col>
      <xdr:colOff>453163</xdr:colOff>
      <xdr:row>78</xdr:row>
      <xdr:rowOff>150091</xdr:rowOff>
    </xdr:to>
    <xdr:pic>
      <xdr:nvPicPr>
        <xdr:cNvPr id="4" name="Afbeelding 3">
          <a:extLst>
            <a:ext uri="{FF2B5EF4-FFF2-40B4-BE49-F238E27FC236}">
              <a16:creationId xmlns:a16="http://schemas.microsoft.com/office/drawing/2014/main" id="{0E6B9209-4F4C-5342-A6A3-B0A4B973F10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4801273"/>
          <a:ext cx="8096254" cy="981363"/>
        </a:xfrm>
        <a:prstGeom prst="rect">
          <a:avLst/>
        </a:prstGeom>
      </xdr:spPr>
    </xdr:pic>
    <xdr:clientData/>
  </xdr:twoCellAnchor>
  <xdr:twoCellAnchor editAs="oneCell">
    <xdr:from>
      <xdr:col>8</xdr:col>
      <xdr:colOff>785091</xdr:colOff>
      <xdr:row>64</xdr:row>
      <xdr:rowOff>92363</xdr:rowOff>
    </xdr:from>
    <xdr:to>
      <xdr:col>13</xdr:col>
      <xdr:colOff>380000</xdr:colOff>
      <xdr:row>82</xdr:row>
      <xdr:rowOff>180273</xdr:rowOff>
    </xdr:to>
    <xdr:pic>
      <xdr:nvPicPr>
        <xdr:cNvPr id="5" name="Afbeelding 4">
          <a:extLst>
            <a:ext uri="{FF2B5EF4-FFF2-40B4-BE49-F238E27FC236}">
              <a16:creationId xmlns:a16="http://schemas.microsoft.com/office/drawing/2014/main" id="{9B63BB68-854B-BE87-BF93-19906302405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8624455" y="14616545"/>
          <a:ext cx="6741545" cy="3828637"/>
        </a:xfrm>
        <a:prstGeom prst="rect">
          <a:avLst/>
        </a:prstGeom>
      </xdr:spPr>
    </xdr:pic>
    <xdr:clientData/>
  </xdr:twoCellAnchor>
  <xdr:twoCellAnchor editAs="oneCell">
    <xdr:from>
      <xdr:col>16</xdr:col>
      <xdr:colOff>0</xdr:colOff>
      <xdr:row>64</xdr:row>
      <xdr:rowOff>0</xdr:rowOff>
    </xdr:from>
    <xdr:to>
      <xdr:col>22</xdr:col>
      <xdr:colOff>331354</xdr:colOff>
      <xdr:row>81</xdr:row>
      <xdr:rowOff>88900</xdr:rowOff>
    </xdr:to>
    <xdr:pic>
      <xdr:nvPicPr>
        <xdr:cNvPr id="6" name="Afbeelding 5">
          <a:extLst>
            <a:ext uri="{FF2B5EF4-FFF2-40B4-BE49-F238E27FC236}">
              <a16:creationId xmlns:a16="http://schemas.microsoft.com/office/drawing/2014/main" id="{13B57C3C-0F28-0040-8AC3-868B2015246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15494000" y="14524182"/>
          <a:ext cx="7235536" cy="3621809"/>
        </a:xfrm>
        <a:prstGeom prst="rect">
          <a:avLst/>
        </a:prstGeom>
      </xdr:spPr>
    </xdr:pic>
    <xdr:clientData/>
  </xdr:twoCellAnchor>
  <xdr:twoCellAnchor editAs="oneCell">
    <xdr:from>
      <xdr:col>17</xdr:col>
      <xdr:colOff>161636</xdr:colOff>
      <xdr:row>82</xdr:row>
      <xdr:rowOff>115454</xdr:rowOff>
    </xdr:from>
    <xdr:to>
      <xdr:col>21</xdr:col>
      <xdr:colOff>369641</xdr:colOff>
      <xdr:row>88</xdr:row>
      <xdr:rowOff>34635</xdr:rowOff>
    </xdr:to>
    <xdr:pic>
      <xdr:nvPicPr>
        <xdr:cNvPr id="7" name="Afbeelding 6">
          <a:extLst>
            <a:ext uri="{FF2B5EF4-FFF2-40B4-BE49-F238E27FC236}">
              <a16:creationId xmlns:a16="http://schemas.microsoft.com/office/drawing/2014/main" id="{AC87BA7C-855E-6C45-9931-4801B4F832D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>
          <a:off x="16486909" y="18380363"/>
          <a:ext cx="4837732" cy="1385454"/>
        </a:xfrm>
        <a:prstGeom prst="rect">
          <a:avLst/>
        </a:prstGeom>
      </xdr:spPr>
    </xdr:pic>
    <xdr:clientData/>
  </xdr:twoCellAnchor>
</xdr:wsDr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Harrie Boelens" refreshedDate="46159.341706134262" createdVersion="8" refreshedVersion="8" minRefreshableVersion="3" recordCount="73" xr:uid="{973246BE-07B1-C94A-A117-E9E43232EF3E}">
  <cacheSource type="worksheet">
    <worksheetSource ref="A2:Y75" sheet="rubriceren nieuw"/>
  </cacheSource>
  <cacheFields count="25">
    <cacheField name="A" numFmtId="0">
      <sharedItems containsBlank="1" count="4">
        <m/>
        <s v="A"/>
        <s v="D"/>
        <s v="B+C"/>
      </sharedItems>
    </cacheField>
    <cacheField name="Eigenaarslasten" numFmtId="0">
      <sharedItems containsBlank="1" count="67">
        <s v="Verzekeringen"/>
        <s v="Premie opstalverzekering"/>
        <s v="Premie glasverzekering"/>
        <s v="Premie wettelijke aansprakelijkheid"/>
        <s v="Premie ongevallenverzekering"/>
        <s v="Premie bestuurdersaansprakelijkheid"/>
        <s v="Overeenkomst juridische dienstverlening"/>
        <s v="Verzekeringen totaal"/>
        <m/>
        <s v="Onderhoud"/>
        <s v="Dagelijks onderhoud"/>
        <s v="Onderhoudscontract W-installatie stelpost (CV-installatie)"/>
        <s v="Onderhoud W-installatie stelpost (CV-Installatie)"/>
        <s v="Onderhoudscontract E-installatie stelpost (noodverlichting + NSA) "/>
        <s v="Onderhoudskosten E-installatie stelpost"/>
        <s v="Onderhoud storingen hydrofoor"/>
        <s v="Onderhoudscontract hydrofoor"/>
        <s v="Onderhoudscontract elektrische deur"/>
        <s v="Onderhoud / storingen elektrische deur"/>
        <s v="Onderhoud / storingen liftinstallatie"/>
        <s v="Onderhoudscontract liftinstallatie"/>
        <s v="Onderhoud zonwering"/>
        <s v="Onderhoud dakveiligheid"/>
        <s v="Legionellabeheer"/>
        <s v="Onderhoud bliksemafleidingsinstallatie"/>
        <s v="kosten brandmeldinstallatie"/>
        <s v="Onderhoudcontract droge blusleiding. "/>
        <s v="Onderhoudscontract bliksemafleidingsinstallatie"/>
        <s v="Totaal onderhoud"/>
        <s v="Kosten"/>
        <s v="Verenigingskosten"/>
        <s v="Accountantskosten"/>
        <s v="Declaratiekosten bestuursleden"/>
        <s v="Honorarium administratief beheerder"/>
        <s v="Honorarium technisch beheerder"/>
        <s v="Bankkosten"/>
        <s v="Totaal kosten"/>
        <s v="Dotatie"/>
        <s v="Reservering groot onderhoud (dotatie)"/>
        <s v="Opbrengsten"/>
        <s v="Opbrengst logeerkamers"/>
        <s v="Opbrengst wasssen"/>
        <s v="Antennevergoeding"/>
        <s v="Totaal opbrengsten"/>
        <s v="Totaal servicekosten - opbrengsten"/>
        <s v="Eigenaarslasten Energie"/>
        <s v="Gas/water/elektra"/>
        <s v="Energiekosten elektraverbruik"/>
        <s v="Waterverbruik gemeenschappelijk en woningen"/>
        <s v="Energiekosten gasverbruik"/>
        <s v="Totaal Gas/water/elektra"/>
        <s v="Eigenaarslasten beschermd wonen"/>
        <s v="Onderhoud groenvoorziening"/>
        <s v="Ongediertebestrijding"/>
        <s v="Glasbewassing"/>
        <s v="Kosten huismeester"/>
        <s v="Bijdrage activiteitencommissie VvE Kortonjo"/>
        <s v="Schoonmaakcontract algemene ruimten"/>
        <s v="Onderhoud alarmapparatuur (zorgalarmering) BHV"/>
        <s v="Calamiteitenzorg (zorgkastje)"/>
        <s v="Activiteitenbegeleiding"/>
        <s v="Bedrijfs Hulp Verlening (BHV kosten)"/>
        <s v="Medewerker Praethuys"/>
        <s v="Schoonmaak tussengebouw"/>
        <s v="Kosten levering diensten tussengebouw"/>
        <s v="Totaal kosten beschermd wonen"/>
        <s v="Totaal rubriek A + D + (B en C)"/>
      </sharedItems>
    </cacheField>
    <cacheField name="2027" numFmtId="0">
      <sharedItems containsString="0" containsBlank="1" containsNumber="1" containsInteger="1" minValue="-29000" maxValue="979001"/>
    </cacheField>
    <cacheField name="App. A p/jaar" numFmtId="0">
      <sharedItems containsString="0" containsBlank="1" containsNumber="1" minValue="-133.4" maxValue="4799.0245098039213"/>
    </cacheField>
    <cacheField name="App. A p/mnd" numFmtId="0">
      <sharedItems containsString="0" containsBlank="1" containsNumber="1" minValue="-11.116666666666667" maxValue="399.91870915032678"/>
    </cacheField>
    <cacheField name="% tov rubriek" numFmtId="0">
      <sharedItems containsString="0" containsBlank="1" containsNumber="1" minValue="-7.8644494343020163E-2" maxValue="0.62847798496534224"/>
    </cacheField>
    <cacheField name="% tov totaal" numFmtId="0">
      <sharedItems containsString="0" containsBlank="1" containsNumber="1" minValue="0.10214494162927311" maxValue="1"/>
    </cacheField>
    <cacheField name="Veld8" caption="Veld8" numFmtId="0">
      <sharedItems containsNonDate="0" containsString="0" containsBlank="1"/>
    </cacheField>
    <cacheField name="2026" numFmtId="0">
      <sharedItems containsString="0" containsBlank="1" containsNumber="1" minValue="-29000" maxValue="1207371.8599999999"/>
    </cacheField>
    <cacheField name="% tov rubriek2" numFmtId="0">
      <sharedItems containsString="0" containsBlank="1" containsNumber="1" minValue="-8.2301723795414949E-2" maxValue="0.63854785703339179"/>
    </cacheField>
    <cacheField name="% tov totaal2" numFmtId="0">
      <sharedItems containsString="0" containsBlank="1" containsNumber="1" minValue="0.2918421504373972" maxValue="1"/>
    </cacheField>
    <cacheField name="Veld12" caption="Veld12" numFmtId="0">
      <sharedItems containsNonDate="0" containsString="0" containsBlank="1"/>
    </cacheField>
    <cacheField name="2025" numFmtId="0">
      <sharedItems containsString="0" containsBlank="1" containsNumber="1" containsInteger="1" minValue="-29000" maxValue="1155378"/>
    </cacheField>
    <cacheField name="% tov rubriek3" numFmtId="0">
      <sharedItems containsString="0" containsBlank="1" containsNumber="1" minValue="-8.4992643740145243E-2" maxValue="0.65942568419078207"/>
    </cacheField>
    <cacheField name="% tov totaal3" numFmtId="0">
      <sharedItems containsString="0" containsBlank="1" containsNumber="1" minValue="0.29531980010005382" maxValue="1"/>
    </cacheField>
    <cacheField name="Veld16" caption="Veld16" numFmtId="0">
      <sharedItems containsNonDate="0" containsString="0" containsBlank="1"/>
    </cacheField>
    <cacheField name="2024" numFmtId="0">
      <sharedItems containsString="0" containsBlank="1" containsNumber="1" minValue="-29000" maxValue="1038820.1699999999"/>
    </cacheField>
    <cacheField name="% tov rubriek4" numFmtId="0">
      <sharedItems containsString="0" containsBlank="1" containsNumber="1" minValue="-9.1181729998509334E-2" maxValue="0.62883951723109888"/>
    </cacheField>
    <cacheField name="% tov totaal4" numFmtId="0">
      <sharedItems containsString="0" containsBlank="1" containsNumber="1" minValue="0.27434969808104515" maxValue="1"/>
    </cacheField>
    <cacheField name="Veld20" caption="Veld20" numFmtId="0">
      <sharedItems containsNonDate="0" containsString="0" containsBlank="1"/>
    </cacheField>
    <cacheField name="2023" numFmtId="0">
      <sharedItems containsString="0" containsBlank="1" containsNumber="1" minValue="-26000" maxValue="924346.56"/>
    </cacheField>
    <cacheField name="% tov rubriek5" numFmtId="0">
      <sharedItems containsString="0" containsBlank="1" containsNumber="1" minValue="-8.9947623153085562E-2" maxValue="0.60541669429961442"/>
    </cacheField>
    <cacheField name="% tov totaal5" numFmtId="0">
      <sharedItems containsString="0" containsBlank="1" containsNumber="1" minValue="0.23800597040140442" maxValue="1"/>
    </cacheField>
    <cacheField name="Veld24" caption="Veld24" numFmtId="0">
      <sharedItems containsNonDate="0" containsString="0" containsBlank="1"/>
    </cacheField>
    <cacheField name="2022" numFmtId="0">
      <sharedItems containsString="0" containsBlank="1" containsNumber="1" minValue="-27000" maxValue="894206.65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73">
  <r>
    <x v="0"/>
    <x v="0"/>
    <m/>
    <m/>
    <m/>
    <m/>
    <m/>
    <m/>
    <m/>
    <m/>
    <m/>
    <m/>
    <m/>
    <m/>
    <m/>
    <m/>
    <m/>
    <m/>
    <m/>
    <m/>
    <m/>
    <m/>
    <m/>
    <m/>
    <m/>
  </r>
  <r>
    <x v="0"/>
    <x v="1"/>
    <n v="25570"/>
    <n v="117.622"/>
    <n v="9.8018333333333327"/>
    <m/>
    <m/>
    <m/>
    <n v="24353"/>
    <m/>
    <m/>
    <m/>
    <n v="21750"/>
    <m/>
    <m/>
    <m/>
    <n v="19550"/>
    <m/>
    <m/>
    <m/>
    <n v="17000"/>
    <m/>
    <m/>
    <m/>
    <n v="16000"/>
  </r>
  <r>
    <x v="0"/>
    <x v="2"/>
    <n v="1997"/>
    <n v="9.1861999999999995"/>
    <n v="0.76551666666666662"/>
    <m/>
    <m/>
    <m/>
    <n v="1902"/>
    <m/>
    <m/>
    <m/>
    <n v="1980"/>
    <m/>
    <m/>
    <m/>
    <n v="1980"/>
    <m/>
    <m/>
    <m/>
    <n v="1725"/>
    <m/>
    <m/>
    <m/>
    <n v="1850"/>
  </r>
  <r>
    <x v="0"/>
    <x v="3"/>
    <n v="3025"/>
    <n v="13.914999999999999"/>
    <n v="1.1595833333333332"/>
    <m/>
    <m/>
    <m/>
    <n v="2881"/>
    <m/>
    <m/>
    <m/>
    <n v="2650"/>
    <m/>
    <m/>
    <m/>
    <n v="2500"/>
    <m/>
    <m/>
    <m/>
    <n v="2200"/>
    <m/>
    <m/>
    <m/>
    <n v="2350"/>
  </r>
  <r>
    <x v="0"/>
    <x v="4"/>
    <n v="40"/>
    <n v="0.184"/>
    <n v="1.5333333333333332E-2"/>
    <m/>
    <m/>
    <m/>
    <n v="40"/>
    <m/>
    <m/>
    <m/>
    <m/>
    <m/>
    <m/>
    <m/>
    <m/>
    <m/>
    <m/>
    <m/>
    <m/>
    <m/>
    <m/>
    <m/>
    <m/>
  </r>
  <r>
    <x v="0"/>
    <x v="5"/>
    <n v="427"/>
    <n v="1.9641999999999999"/>
    <n v="0.16368333333333332"/>
    <m/>
    <m/>
    <m/>
    <n v="407"/>
    <m/>
    <m/>
    <m/>
    <n v="450"/>
    <m/>
    <m/>
    <m/>
    <n v="350"/>
    <m/>
    <m/>
    <m/>
    <n v="350"/>
    <m/>
    <m/>
    <m/>
    <n v="350"/>
  </r>
  <r>
    <x v="0"/>
    <x v="6"/>
    <n v="2664"/>
    <n v="12.2544"/>
    <n v="1.0212000000000001"/>
    <m/>
    <m/>
    <m/>
    <n v="2537"/>
    <m/>
    <m/>
    <m/>
    <n v="2350"/>
    <m/>
    <m/>
    <m/>
    <n v="2190"/>
    <m/>
    <m/>
    <m/>
    <n v="2090"/>
    <m/>
    <m/>
    <m/>
    <n v="1780"/>
  </r>
  <r>
    <x v="0"/>
    <x v="7"/>
    <n v="33723"/>
    <n v="155.1258"/>
    <n v="12.927149999999999"/>
    <n v="9.1452699404471344E-2"/>
    <m/>
    <m/>
    <n v="32120"/>
    <n v="9.115625407961131E-2"/>
    <m/>
    <m/>
    <n v="29180"/>
    <n v="8.5520184287497872E-2"/>
    <m/>
    <m/>
    <n v="26570"/>
    <n v="8.3541329864151484E-2"/>
    <m/>
    <m/>
    <n v="23365"/>
    <n v="8.0831777498917082E-2"/>
    <m/>
    <m/>
    <n v="22330"/>
  </r>
  <r>
    <x v="0"/>
    <x v="8"/>
    <m/>
    <m/>
    <m/>
    <m/>
    <m/>
    <m/>
    <m/>
    <m/>
    <m/>
    <m/>
    <m/>
    <m/>
    <m/>
    <m/>
    <m/>
    <m/>
    <m/>
    <m/>
    <m/>
    <m/>
    <m/>
    <m/>
    <m/>
  </r>
  <r>
    <x v="0"/>
    <x v="9"/>
    <m/>
    <m/>
    <m/>
    <m/>
    <m/>
    <m/>
    <m/>
    <m/>
    <m/>
    <m/>
    <m/>
    <m/>
    <m/>
    <m/>
    <m/>
    <m/>
    <m/>
    <m/>
    <m/>
    <m/>
    <m/>
    <m/>
    <m/>
  </r>
  <r>
    <x v="0"/>
    <x v="10"/>
    <n v="8000"/>
    <n v="36.799999999999997"/>
    <n v="3.0666666666666664"/>
    <m/>
    <m/>
    <m/>
    <n v="8000"/>
    <m/>
    <m/>
    <m/>
    <n v="7000"/>
    <m/>
    <m/>
    <m/>
    <n v="6000"/>
    <m/>
    <m/>
    <m/>
    <n v="6000"/>
    <m/>
    <m/>
    <m/>
    <n v="6000"/>
  </r>
  <r>
    <x v="0"/>
    <x v="11"/>
    <n v="8697"/>
    <n v="40.0062"/>
    <n v="3.33385"/>
    <m/>
    <m/>
    <m/>
    <n v="6315"/>
    <m/>
    <m/>
    <m/>
    <n v="5781"/>
    <m/>
    <m/>
    <m/>
    <n v="4100"/>
    <m/>
    <m/>
    <m/>
    <n v="4000"/>
    <m/>
    <m/>
    <m/>
    <n v="3600"/>
  </r>
  <r>
    <x v="0"/>
    <x v="12"/>
    <n v="2000"/>
    <n v="9.1999999999999993"/>
    <n v="0.76666666666666661"/>
    <m/>
    <m/>
    <m/>
    <n v="2000"/>
    <m/>
    <m/>
    <m/>
    <n v="2000"/>
    <m/>
    <m/>
    <m/>
    <n v="5000"/>
    <m/>
    <m/>
    <m/>
    <n v="5000"/>
    <m/>
    <m/>
    <m/>
    <n v="5000"/>
  </r>
  <r>
    <x v="0"/>
    <x v="13"/>
    <n v="0"/>
    <n v="0"/>
    <n v="0"/>
    <m/>
    <m/>
    <m/>
    <m/>
    <m/>
    <m/>
    <m/>
    <n v="0"/>
    <m/>
    <m/>
    <m/>
    <n v="0"/>
    <m/>
    <m/>
    <m/>
    <n v="0"/>
    <m/>
    <m/>
    <m/>
    <n v="1000"/>
  </r>
  <r>
    <x v="0"/>
    <x v="14"/>
    <n v="1500"/>
    <n v="6.8999999999999995"/>
    <n v="0.57499999999999996"/>
    <m/>
    <m/>
    <m/>
    <n v="1500"/>
    <m/>
    <m/>
    <m/>
    <n v="1500"/>
    <m/>
    <m/>
    <m/>
    <n v="1500"/>
    <m/>
    <m/>
    <m/>
    <n v="1500"/>
    <m/>
    <m/>
    <m/>
    <n v="1500"/>
  </r>
  <r>
    <x v="0"/>
    <x v="15"/>
    <n v="500"/>
    <n v="2.2999999999999998"/>
    <n v="0.19166666666666665"/>
    <m/>
    <m/>
    <m/>
    <n v="500"/>
    <m/>
    <m/>
    <m/>
    <n v="500"/>
    <m/>
    <m/>
    <m/>
    <n v="500"/>
    <m/>
    <m/>
    <m/>
    <n v="500"/>
    <m/>
    <m/>
    <m/>
    <n v="500"/>
  </r>
  <r>
    <x v="0"/>
    <x v="16"/>
    <n v="627"/>
    <n v="2.8841999999999999"/>
    <n v="0.24034999999999998"/>
    <m/>
    <m/>
    <m/>
    <n v="597"/>
    <m/>
    <m/>
    <m/>
    <n v="565"/>
    <m/>
    <m/>
    <m/>
    <n v="540"/>
    <m/>
    <m/>
    <m/>
    <n v="520"/>
    <m/>
    <m/>
    <m/>
    <n v="520"/>
  </r>
  <r>
    <x v="0"/>
    <x v="17"/>
    <n v="4332"/>
    <n v="19.927199999999999"/>
    <n v="1.6605999999999999"/>
    <m/>
    <m/>
    <m/>
    <n v="4125"/>
    <m/>
    <m/>
    <m/>
    <n v="3850"/>
    <m/>
    <m/>
    <m/>
    <n v="3400"/>
    <m/>
    <m/>
    <m/>
    <n v="3275"/>
    <m/>
    <m/>
    <m/>
    <n v="2700"/>
  </r>
  <r>
    <x v="0"/>
    <x v="18"/>
    <n v="1400"/>
    <n v="6.4399999999999995"/>
    <n v="0.53666666666666663"/>
    <m/>
    <m/>
    <m/>
    <n v="1400"/>
    <m/>
    <m/>
    <m/>
    <n v="1400"/>
    <m/>
    <m/>
    <m/>
    <n v="1000"/>
    <m/>
    <m/>
    <m/>
    <n v="1000"/>
    <m/>
    <m/>
    <m/>
    <n v="1000"/>
  </r>
  <r>
    <x v="0"/>
    <x v="19"/>
    <n v="1000"/>
    <n v="4.5999999999999996"/>
    <n v="0.3833333333333333"/>
    <m/>
    <m/>
    <m/>
    <n v="1000"/>
    <m/>
    <m/>
    <m/>
    <n v="1000"/>
    <m/>
    <m/>
    <m/>
    <n v="1000"/>
    <m/>
    <m/>
    <m/>
    <n v="1000"/>
    <m/>
    <m/>
    <m/>
    <n v="1000"/>
  </r>
  <r>
    <x v="0"/>
    <x v="20"/>
    <n v="9000"/>
    <n v="41.4"/>
    <n v="3.4499999999999997"/>
    <m/>
    <m/>
    <m/>
    <n v="7140"/>
    <m/>
    <m/>
    <m/>
    <n v="5500"/>
    <m/>
    <m/>
    <m/>
    <n v="6950"/>
    <m/>
    <m/>
    <m/>
    <n v="6695"/>
    <m/>
    <m/>
    <m/>
    <n v="5850"/>
  </r>
  <r>
    <x v="0"/>
    <x v="21"/>
    <n v="1000"/>
    <n v="4.5999999999999996"/>
    <n v="0.3833333333333333"/>
    <m/>
    <m/>
    <m/>
    <n v="1000"/>
    <m/>
    <m/>
    <m/>
    <n v="1000"/>
    <m/>
    <m/>
    <m/>
    <n v="3500"/>
    <m/>
    <m/>
    <m/>
    <n v="3500"/>
    <m/>
    <m/>
    <m/>
    <n v="3500"/>
  </r>
  <r>
    <x v="0"/>
    <x v="22"/>
    <n v="550"/>
    <n v="2.5299999999999998"/>
    <n v="0.21083333333333332"/>
    <m/>
    <m/>
    <m/>
    <n v="524"/>
    <m/>
    <m/>
    <m/>
    <n v="500"/>
    <m/>
    <m/>
    <m/>
    <n v="500"/>
    <m/>
    <m/>
    <m/>
    <n v="500"/>
    <m/>
    <m/>
    <m/>
    <m/>
  </r>
  <r>
    <x v="0"/>
    <x v="23"/>
    <n v="2500"/>
    <n v="11.5"/>
    <n v="0.95833333333333337"/>
    <m/>
    <m/>
    <m/>
    <n v="2500"/>
    <m/>
    <m/>
    <m/>
    <n v="3750"/>
    <m/>
    <m/>
    <m/>
    <n v="4250"/>
    <m/>
    <m/>
    <m/>
    <n v="4250"/>
    <m/>
    <m/>
    <m/>
    <n v="4250"/>
  </r>
  <r>
    <x v="0"/>
    <x v="24"/>
    <n v="300"/>
    <n v="1.38"/>
    <n v="0.11499999999999999"/>
    <m/>
    <m/>
    <m/>
    <n v="300"/>
    <m/>
    <m/>
    <m/>
    <n v="300"/>
    <m/>
    <m/>
    <m/>
    <n v="300"/>
    <m/>
    <m/>
    <m/>
    <n v="300"/>
    <m/>
    <m/>
    <m/>
    <n v="300"/>
  </r>
  <r>
    <x v="0"/>
    <x v="25"/>
    <n v="594"/>
    <n v="2.7324000000000002"/>
    <n v="0.22770000000000001"/>
    <m/>
    <m/>
    <m/>
    <n v="565"/>
    <m/>
    <m/>
    <m/>
    <n v="0"/>
    <m/>
    <m/>
    <m/>
    <n v="1020"/>
    <m/>
    <m/>
    <m/>
    <n v="980"/>
    <m/>
    <m/>
    <m/>
    <n v="500"/>
  </r>
  <r>
    <x v="0"/>
    <x v="26"/>
    <n v="1080"/>
    <n v="4.968"/>
    <n v="0.41399999999999998"/>
    <m/>
    <m/>
    <m/>
    <n v="1030"/>
    <m/>
    <m/>
    <m/>
    <n v="1020"/>
    <m/>
    <m/>
    <m/>
    <n v="1000"/>
    <m/>
    <m/>
    <m/>
    <n v="1000"/>
    <m/>
    <m/>
    <m/>
    <n v="1000"/>
  </r>
  <r>
    <x v="0"/>
    <x v="27"/>
    <n v="470"/>
    <n v="2.1619999999999999"/>
    <n v="0.18016666666666667"/>
    <m/>
    <m/>
    <m/>
    <n v="450"/>
    <m/>
    <m/>
    <m/>
    <n v="470"/>
    <m/>
    <m/>
    <m/>
    <n v="470"/>
    <m/>
    <m/>
    <m/>
    <n v="470"/>
    <m/>
    <m/>
    <m/>
    <n v="470"/>
  </r>
  <r>
    <x v="0"/>
    <x v="28"/>
    <n v="43550"/>
    <n v="200.32999999999998"/>
    <n v="16.694166666666664"/>
    <n v="0.11810233547029407"/>
    <m/>
    <m/>
    <n v="38946"/>
    <n v="0.11052837706676656"/>
    <m/>
    <m/>
    <n v="36136"/>
    <n v="0.10590669566185823"/>
    <m/>
    <m/>
    <n v="41030"/>
    <n v="0.12900642695995995"/>
    <m/>
    <m/>
    <n v="40490"/>
    <n v="0.14007612544109363"/>
    <m/>
    <m/>
    <n v="38690"/>
  </r>
  <r>
    <x v="0"/>
    <x v="8"/>
    <m/>
    <m/>
    <m/>
    <m/>
    <m/>
    <m/>
    <m/>
    <m/>
    <m/>
    <m/>
    <m/>
    <m/>
    <m/>
    <m/>
    <m/>
    <m/>
    <m/>
    <m/>
    <m/>
    <m/>
    <m/>
    <m/>
    <m/>
  </r>
  <r>
    <x v="0"/>
    <x v="29"/>
    <m/>
    <m/>
    <m/>
    <m/>
    <m/>
    <m/>
    <m/>
    <m/>
    <m/>
    <m/>
    <m/>
    <m/>
    <m/>
    <m/>
    <m/>
    <m/>
    <m/>
    <m/>
    <m/>
    <m/>
    <m/>
    <m/>
    <m/>
  </r>
  <r>
    <x v="0"/>
    <x v="30"/>
    <n v="8000"/>
    <n v="36.799999999999997"/>
    <n v="3.0666666666666664"/>
    <m/>
    <m/>
    <m/>
    <n v="8000"/>
    <m/>
    <m/>
    <m/>
    <n v="5000"/>
    <m/>
    <m/>
    <m/>
    <n v="5000"/>
    <m/>
    <m/>
    <m/>
    <n v="5000"/>
    <m/>
    <m/>
    <m/>
    <n v="5000"/>
  </r>
  <r>
    <x v="0"/>
    <x v="31"/>
    <n v="0"/>
    <n v="0"/>
    <n v="0"/>
    <m/>
    <m/>
    <m/>
    <n v="0"/>
    <m/>
    <m/>
    <m/>
    <n v="3000"/>
    <m/>
    <m/>
    <m/>
    <n v="4910"/>
    <m/>
    <m/>
    <m/>
    <n v="4720"/>
    <m/>
    <m/>
    <m/>
    <n v="4000"/>
  </r>
  <r>
    <x v="0"/>
    <x v="32"/>
    <n v="7200"/>
    <n v="33.119999999999997"/>
    <n v="2.76"/>
    <m/>
    <m/>
    <m/>
    <n v="7200"/>
    <m/>
    <m/>
    <m/>
    <n v="5000"/>
    <m/>
    <m/>
    <m/>
    <n v="5000"/>
    <m/>
    <m/>
    <m/>
    <n v="5000"/>
    <m/>
    <m/>
    <m/>
    <n v="5000"/>
  </r>
  <r>
    <x v="0"/>
    <x v="33"/>
    <n v="52660"/>
    <n v="242.23599999999999"/>
    <n v="20.186333333333334"/>
    <m/>
    <m/>
    <m/>
    <n v="50153"/>
    <m/>
    <m/>
    <m/>
    <n v="47962"/>
    <m/>
    <m/>
    <m/>
    <n v="46565"/>
    <m/>
    <m/>
    <m/>
    <n v="44346.71"/>
    <m/>
    <m/>
    <m/>
    <n v="39433.65"/>
  </r>
  <r>
    <x v="0"/>
    <x v="34"/>
    <n v="19365"/>
    <n v="89.078999999999994"/>
    <n v="7.4232499999999995"/>
    <m/>
    <m/>
    <m/>
    <n v="18443"/>
    <m/>
    <m/>
    <m/>
    <n v="17428"/>
    <m/>
    <m/>
    <m/>
    <n v="16921.169999999998"/>
    <m/>
    <m/>
    <m/>
    <n v="16115.4"/>
    <m/>
    <m/>
    <m/>
    <n v="14330"/>
  </r>
  <r>
    <x v="0"/>
    <x v="35"/>
    <n v="1500"/>
    <n v="6.8999999999999995"/>
    <n v="0.57499999999999996"/>
    <m/>
    <m/>
    <m/>
    <n v="1500"/>
    <m/>
    <m/>
    <m/>
    <n v="1500"/>
    <m/>
    <m/>
    <m/>
    <n v="1050"/>
    <m/>
    <m/>
    <m/>
    <n v="1020"/>
    <m/>
    <m/>
    <m/>
    <n v="850"/>
  </r>
  <r>
    <x v="0"/>
    <x v="36"/>
    <n v="88725"/>
    <n v="408.13499999999999"/>
    <n v="34.011249999999997"/>
    <n v="0.24061147450291256"/>
    <m/>
    <m/>
    <n v="85296"/>
    <n v="0.24206923561564528"/>
    <m/>
    <m/>
    <n v="79890"/>
    <n v="0.23414007960000705"/>
    <m/>
    <m/>
    <n v="79446.17"/>
    <n v="0.24979445594329905"/>
    <m/>
    <m/>
    <n v="76202.11"/>
    <m/>
    <m/>
    <m/>
    <n v="68613.649999999994"/>
  </r>
  <r>
    <x v="0"/>
    <x v="8"/>
    <m/>
    <m/>
    <m/>
    <m/>
    <m/>
    <m/>
    <m/>
    <m/>
    <m/>
    <m/>
    <m/>
    <m/>
    <m/>
    <m/>
    <m/>
    <m/>
    <m/>
    <m/>
    <m/>
    <m/>
    <m/>
    <m/>
    <m/>
  </r>
  <r>
    <x v="0"/>
    <x v="37"/>
    <m/>
    <m/>
    <m/>
    <m/>
    <m/>
    <m/>
    <m/>
    <m/>
    <m/>
    <m/>
    <m/>
    <m/>
    <m/>
    <m/>
    <m/>
    <m/>
    <m/>
    <m/>
    <m/>
    <m/>
    <m/>
    <m/>
    <m/>
  </r>
  <r>
    <x v="0"/>
    <x v="38"/>
    <n v="231750"/>
    <n v="1066.05"/>
    <n v="88.837499999999991"/>
    <n v="0.62847798496534224"/>
    <m/>
    <m/>
    <n v="225000"/>
    <n v="0.63854785703339179"/>
    <m/>
    <m/>
    <n v="225000"/>
    <n v="0.65942568419078207"/>
    <m/>
    <m/>
    <n v="200000"/>
    <n v="0.62883951723109888"/>
    <m/>
    <m/>
    <n v="175000"/>
    <n v="0.60541669429961442"/>
    <m/>
    <m/>
    <n v="175000"/>
  </r>
  <r>
    <x v="0"/>
    <x v="8"/>
    <m/>
    <m/>
    <m/>
    <m/>
    <m/>
    <m/>
    <m/>
    <m/>
    <m/>
    <m/>
    <m/>
    <m/>
    <m/>
    <m/>
    <m/>
    <m/>
    <m/>
    <m/>
    <m/>
    <m/>
    <m/>
    <m/>
    <m/>
  </r>
  <r>
    <x v="0"/>
    <x v="39"/>
    <m/>
    <m/>
    <m/>
    <m/>
    <m/>
    <m/>
    <m/>
    <m/>
    <m/>
    <m/>
    <m/>
    <m/>
    <m/>
    <m/>
    <m/>
    <m/>
    <m/>
    <m/>
    <m/>
    <m/>
    <m/>
    <m/>
    <m/>
  </r>
  <r>
    <x v="0"/>
    <x v="40"/>
    <n v="-8000"/>
    <n v="-36.799999999999997"/>
    <n v="-3.0666666666666664"/>
    <m/>
    <m/>
    <m/>
    <n v="-8000"/>
    <m/>
    <m/>
    <m/>
    <n v="-8000"/>
    <m/>
    <m/>
    <m/>
    <n v="-8000"/>
    <m/>
    <m/>
    <m/>
    <n v="-6000"/>
    <m/>
    <m/>
    <m/>
    <n v="-4000"/>
  </r>
  <r>
    <x v="0"/>
    <x v="41"/>
    <n v="-3000"/>
    <n v="-13.799999999999999"/>
    <n v="-1.1499999999999999"/>
    <m/>
    <m/>
    <m/>
    <n v="-3000"/>
    <m/>
    <m/>
    <m/>
    <n v="-3000"/>
    <m/>
    <m/>
    <m/>
    <n v="-3000"/>
    <m/>
    <m/>
    <m/>
    <n v="-2000"/>
    <m/>
    <m/>
    <m/>
    <n v="-2000"/>
  </r>
  <r>
    <x v="0"/>
    <x v="42"/>
    <n v="18000"/>
    <n v="82.8"/>
    <n v="6.8999999999999995"/>
    <m/>
    <m/>
    <m/>
    <n v="18000"/>
    <m/>
    <m/>
    <m/>
    <n v="18000"/>
    <m/>
    <m/>
    <m/>
    <n v="18000"/>
    <m/>
    <m/>
    <m/>
    <n v="18000"/>
    <m/>
    <m/>
    <m/>
    <n v="21000"/>
  </r>
  <r>
    <x v="0"/>
    <x v="43"/>
    <n v="-29000"/>
    <n v="-133.4"/>
    <n v="-11.116666666666667"/>
    <n v="-7.8644494343020163E-2"/>
    <m/>
    <m/>
    <n v="-29000"/>
    <n v="-8.2301723795414949E-2"/>
    <m/>
    <m/>
    <n v="-29000"/>
    <n v="-8.4992643740145243E-2"/>
    <m/>
    <m/>
    <n v="-29000"/>
    <n v="-9.1181729998509334E-2"/>
    <m/>
    <m/>
    <n v="-26000"/>
    <n v="-8.9947623153085562E-2"/>
    <m/>
    <m/>
    <n v="-27000"/>
  </r>
  <r>
    <x v="1"/>
    <x v="44"/>
    <n v="368748"/>
    <n v="1696.2408"/>
    <n v="141.35339999999999"/>
    <m/>
    <n v="0.37665742935911201"/>
    <m/>
    <n v="352362"/>
    <m/>
    <n v="0.2918421504373972"/>
    <m/>
    <n v="341206"/>
    <m/>
    <n v="0.29531980010005382"/>
    <m/>
    <n v="318046.17"/>
    <m/>
    <n v="0.30616094987836057"/>
    <m/>
    <n v="289057.11"/>
    <m/>
    <n v="0.31271508166807044"/>
    <m/>
    <n v="277633.65000000002"/>
  </r>
  <r>
    <x v="0"/>
    <x v="8"/>
    <m/>
    <m/>
    <m/>
    <m/>
    <m/>
    <m/>
    <m/>
    <m/>
    <m/>
    <m/>
    <m/>
    <m/>
    <m/>
    <m/>
    <m/>
    <m/>
    <m/>
    <m/>
    <m/>
    <m/>
    <m/>
    <m/>
    <m/>
  </r>
  <r>
    <x v="2"/>
    <x v="45"/>
    <m/>
    <m/>
    <m/>
    <m/>
    <m/>
    <m/>
    <m/>
    <m/>
    <m/>
    <m/>
    <m/>
    <m/>
    <m/>
    <m/>
    <m/>
    <m/>
    <m/>
    <m/>
    <m/>
    <m/>
    <m/>
    <m/>
    <m/>
  </r>
  <r>
    <x v="0"/>
    <x v="46"/>
    <m/>
    <m/>
    <m/>
    <m/>
    <m/>
    <m/>
    <m/>
    <m/>
    <m/>
    <m/>
    <m/>
    <m/>
    <m/>
    <m/>
    <m/>
    <m/>
    <m/>
    <m/>
    <m/>
    <m/>
    <m/>
    <m/>
    <m/>
  </r>
  <r>
    <x v="0"/>
    <x v="47"/>
    <n v="70000"/>
    <n v="322"/>
    <n v="26.833333333333332"/>
    <m/>
    <m/>
    <m/>
    <n v="70000"/>
    <m/>
    <m/>
    <m/>
    <n v="93500"/>
    <m/>
    <m/>
    <m/>
    <n v="35000"/>
    <m/>
    <m/>
    <m/>
    <n v="25000"/>
    <m/>
    <m/>
    <m/>
    <n v="30000"/>
  </r>
  <r>
    <x v="0"/>
    <x v="48"/>
    <n v="30000"/>
    <n v="138"/>
    <n v="11.5"/>
    <m/>
    <m/>
    <m/>
    <n v="30000"/>
    <m/>
    <m/>
    <m/>
    <n v="25000"/>
    <m/>
    <m/>
    <m/>
    <n v="25000"/>
    <m/>
    <m/>
    <m/>
    <n v="25000"/>
    <m/>
    <m/>
    <m/>
    <n v="30000"/>
  </r>
  <r>
    <x v="0"/>
    <x v="49"/>
    <n v="0"/>
    <n v="0"/>
    <n v="0"/>
    <m/>
    <m/>
    <m/>
    <n v="268943.86"/>
    <m/>
    <m/>
    <m/>
    <n v="250000"/>
    <m/>
    <m/>
    <m/>
    <n v="225000"/>
    <m/>
    <m/>
    <m/>
    <n v="170000"/>
    <m/>
    <m/>
    <m/>
    <n v="175000"/>
  </r>
  <r>
    <x v="2"/>
    <x v="50"/>
    <n v="100000"/>
    <n v="460"/>
    <n v="38.333333333333336"/>
    <m/>
    <n v="0.10214494162927311"/>
    <m/>
    <n v="368943.86"/>
    <m/>
    <n v="0.30557599710829769"/>
    <m/>
    <n v="368500"/>
    <m/>
    <n v="0.31894323762439653"/>
    <m/>
    <n v="285000"/>
    <m/>
    <n v="0.27434969808104515"/>
    <m/>
    <n v="220000"/>
    <m/>
    <n v="0.23800597040140442"/>
    <m/>
    <n v="235000"/>
  </r>
  <r>
    <x v="0"/>
    <x v="8"/>
    <m/>
    <m/>
    <m/>
    <m/>
    <m/>
    <m/>
    <m/>
    <m/>
    <m/>
    <m/>
    <m/>
    <m/>
    <m/>
    <m/>
    <m/>
    <m/>
    <m/>
    <m/>
    <m/>
    <m/>
    <m/>
    <m/>
    <m/>
  </r>
  <r>
    <x v="3"/>
    <x v="51"/>
    <m/>
    <m/>
    <m/>
    <m/>
    <m/>
    <m/>
    <m/>
    <m/>
    <m/>
    <m/>
    <m/>
    <m/>
    <m/>
    <m/>
    <m/>
    <m/>
    <m/>
    <m/>
    <m/>
    <m/>
    <m/>
    <m/>
    <m/>
  </r>
  <r>
    <x v="0"/>
    <x v="52"/>
    <n v="3628"/>
    <n v="17.784313725490197"/>
    <n v="1.4820261437908497"/>
    <m/>
    <m/>
    <m/>
    <n v="3465"/>
    <m/>
    <m/>
    <m/>
    <n v="3100"/>
    <m/>
    <m/>
    <m/>
    <n v="3050"/>
    <m/>
    <m/>
    <m/>
    <n v="2950"/>
    <m/>
    <m/>
    <m/>
    <n v="2500"/>
  </r>
  <r>
    <x v="0"/>
    <x v="53"/>
    <m/>
    <m/>
    <m/>
    <m/>
    <m/>
    <m/>
    <m/>
    <m/>
    <m/>
    <m/>
    <m/>
    <m/>
    <m/>
    <m/>
    <n v="500"/>
    <m/>
    <m/>
    <m/>
    <n v="500"/>
    <m/>
    <m/>
    <m/>
    <n v="500"/>
  </r>
  <r>
    <x v="0"/>
    <x v="54"/>
    <n v="4425"/>
    <n v="21.691176470588236"/>
    <n v="1.8075980392156863"/>
    <m/>
    <m/>
    <m/>
    <n v="4214"/>
    <m/>
    <m/>
    <m/>
    <n v="3750"/>
    <m/>
    <m/>
    <m/>
    <n v="3750"/>
    <m/>
    <m/>
    <m/>
    <n v="3600"/>
    <m/>
    <m/>
    <m/>
    <n v="2900"/>
  </r>
  <r>
    <x v="0"/>
    <x v="55"/>
    <n v="96695"/>
    <n v="473.99509803921569"/>
    <n v="39.499591503267972"/>
    <m/>
    <m/>
    <m/>
    <n v="92090"/>
    <m/>
    <m/>
    <m/>
    <n v="90000"/>
    <m/>
    <m/>
    <m/>
    <n v="86085"/>
    <m/>
    <m/>
    <m/>
    <n v="81986.45"/>
    <m/>
    <m/>
    <m/>
    <n v="74970"/>
  </r>
  <r>
    <x v="0"/>
    <x v="56"/>
    <n v="2500"/>
    <n v="12.254901960784315"/>
    <n v="1.0212418300653596"/>
    <m/>
    <m/>
    <m/>
    <n v="2500"/>
    <m/>
    <m/>
    <m/>
    <n v="3000"/>
    <m/>
    <m/>
    <m/>
    <n v="3500"/>
    <m/>
    <m/>
    <m/>
    <n v="3500"/>
    <m/>
    <m/>
    <m/>
    <n v="2000"/>
  </r>
  <r>
    <x v="0"/>
    <x v="57"/>
    <n v="33850"/>
    <n v="165.93137254901961"/>
    <n v="13.827614379084968"/>
    <m/>
    <m/>
    <m/>
    <n v="32237"/>
    <m/>
    <m/>
    <m/>
    <n v="30000"/>
    <m/>
    <m/>
    <m/>
    <n v="27030"/>
    <m/>
    <m/>
    <m/>
    <n v="25745"/>
    <m/>
    <m/>
    <m/>
    <n v="24225"/>
  </r>
  <r>
    <x v="0"/>
    <x v="58"/>
    <n v="7924"/>
    <n v="38.843137254901961"/>
    <n v="3.2369281045751634"/>
    <m/>
    <m/>
    <m/>
    <n v="7546"/>
    <m/>
    <m/>
    <m/>
    <n v="7100"/>
    <m/>
    <m/>
    <m/>
    <n v="6930"/>
    <m/>
    <m/>
    <m/>
    <n v="6600"/>
    <m/>
    <m/>
    <m/>
    <n v="6000"/>
  </r>
  <r>
    <x v="0"/>
    <x v="59"/>
    <n v="190335"/>
    <n v="933.01470588235293"/>
    <n v="77.751225490196077"/>
    <m/>
    <m/>
    <m/>
    <n v="181272"/>
    <m/>
    <m/>
    <m/>
    <n v="158668"/>
    <m/>
    <m/>
    <m/>
    <n v="156050"/>
    <m/>
    <m/>
    <m/>
    <n v="148618"/>
    <m/>
    <m/>
    <m/>
    <n v="135108"/>
  </r>
  <r>
    <x v="0"/>
    <x v="60"/>
    <m/>
    <m/>
    <m/>
    <m/>
    <m/>
    <m/>
    <m/>
    <m/>
    <m/>
    <m/>
    <m/>
    <m/>
    <m/>
    <m/>
    <m/>
    <m/>
    <m/>
    <m/>
    <m/>
    <m/>
    <m/>
    <m/>
    <n v="5000"/>
  </r>
  <r>
    <x v="0"/>
    <x v="61"/>
    <n v="18386"/>
    <n v="90.127450980392155"/>
    <n v="7.5106209150326793"/>
    <m/>
    <m/>
    <m/>
    <n v="17511"/>
    <m/>
    <m/>
    <m/>
    <n v="16358"/>
    <m/>
    <m/>
    <m/>
    <n v="16090"/>
    <m/>
    <m/>
    <m/>
    <n v="15325"/>
    <m/>
    <m/>
    <m/>
    <n v="14000"/>
  </r>
  <r>
    <x v="0"/>
    <x v="62"/>
    <n v="93186"/>
    <n v="456.79411764705884"/>
    <n v="38.066176470588239"/>
    <m/>
    <m/>
    <m/>
    <n v="88732"/>
    <m/>
    <m/>
    <m/>
    <n v="82889"/>
    <m/>
    <m/>
    <m/>
    <n v="81543"/>
    <m/>
    <m/>
    <m/>
    <n v="77660"/>
    <m/>
    <m/>
    <m/>
    <n v="70000"/>
  </r>
  <r>
    <x v="0"/>
    <x v="63"/>
    <n v="17047"/>
    <n v="83.563725490196077"/>
    <n v="6.9636437908496731"/>
    <m/>
    <m/>
    <m/>
    <n v="16235"/>
    <m/>
    <m/>
    <m/>
    <n v="15462"/>
    <m/>
    <m/>
    <m/>
    <n v="14726"/>
    <m/>
    <m/>
    <m/>
    <n v="14025"/>
    <m/>
    <m/>
    <m/>
    <n v="12750"/>
  </r>
  <r>
    <x v="0"/>
    <x v="64"/>
    <n v="42277"/>
    <n v="207.24019607843138"/>
    <n v="17.270016339869283"/>
    <m/>
    <m/>
    <m/>
    <n v="40264"/>
    <m/>
    <m/>
    <m/>
    <n v="35345"/>
    <m/>
    <m/>
    <m/>
    <n v="36520"/>
    <m/>
    <m/>
    <m/>
    <n v="34780"/>
    <m/>
    <m/>
    <m/>
    <n v="31620"/>
  </r>
  <r>
    <x v="3"/>
    <x v="65"/>
    <n v="510253"/>
    <n v="2501.2401960784314"/>
    <n v="208.43668300653596"/>
    <m/>
    <n v="0.52119762901161493"/>
    <m/>
    <n v="486066"/>
    <m/>
    <n v="0.40258185245430522"/>
    <m/>
    <n v="445672"/>
    <m/>
    <n v="0.38573696227554966"/>
    <m/>
    <n v="435774"/>
    <m/>
    <n v="0.41948935204059429"/>
    <m/>
    <n v="415289.45"/>
    <m/>
    <n v="0.44927894793052509"/>
    <m/>
    <n v="381573"/>
  </r>
  <r>
    <x v="0"/>
    <x v="8"/>
    <m/>
    <m/>
    <m/>
    <m/>
    <m/>
    <m/>
    <m/>
    <m/>
    <m/>
    <m/>
    <m/>
    <m/>
    <m/>
    <m/>
    <m/>
    <m/>
    <m/>
    <m/>
    <m/>
    <m/>
    <m/>
    <m/>
    <m/>
  </r>
  <r>
    <x v="0"/>
    <x v="66"/>
    <n v="979001"/>
    <n v="4799.0245098039213"/>
    <n v="399.91870915032678"/>
    <m/>
    <n v="1"/>
    <m/>
    <n v="1207371.8599999999"/>
    <m/>
    <n v="1"/>
    <m/>
    <n v="1155378"/>
    <m/>
    <n v="1"/>
    <m/>
    <n v="1038820.1699999999"/>
    <m/>
    <n v="1"/>
    <m/>
    <n v="924346.56"/>
    <m/>
    <n v="1"/>
    <m/>
    <n v="894206.65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F87AD75B-9703-BC45-A69E-014EDE315FB5}" name="Draaitabel1" cacheId="1" applyNumberFormats="0" applyBorderFormats="0" applyFontFormats="0" applyPatternFormats="0" applyAlignmentFormats="0" applyWidthHeightFormats="1" dataCaption="Waarden" updatedVersion="8" minRefreshableVersion="3" useAutoFormatting="1" rowGrandTotals="0" colGrandTotals="0" itemPrintTitles="1" createdVersion="8" indent="0" compact="0" outline="1" outlineData="1" compactData="0" multipleFieldFilters="0" chartFormat="1">
  <location ref="A3:G6" firstHeaderRow="0" firstDataRow="1" firstDataCol="1"/>
  <pivotFields count="25">
    <pivotField axis="axisRow" compact="0" showAll="0" defaultSubtotal="0">
      <items count="4">
        <item x="1"/>
        <item x="3"/>
        <item x="2"/>
        <item h="1" x="0"/>
      </items>
    </pivotField>
    <pivotField compact="0" showAll="0" defaultSubtotal="0">
      <items count="67">
        <item x="31"/>
        <item x="60"/>
        <item x="42"/>
        <item x="35"/>
        <item x="61"/>
        <item x="56"/>
        <item x="59"/>
        <item x="10"/>
        <item x="32"/>
        <item x="37"/>
        <item x="51"/>
        <item x="45"/>
        <item x="47"/>
        <item x="49"/>
        <item x="46"/>
        <item x="54"/>
        <item x="33"/>
        <item x="34"/>
        <item x="29"/>
        <item x="25"/>
        <item x="55"/>
        <item x="64"/>
        <item x="23"/>
        <item x="62"/>
        <item x="9"/>
        <item x="18"/>
        <item x="19"/>
        <item x="58"/>
        <item x="24"/>
        <item x="22"/>
        <item x="52"/>
        <item x="15"/>
        <item x="12"/>
        <item x="21"/>
        <item x="26"/>
        <item x="27"/>
        <item x="13"/>
        <item x="17"/>
        <item x="16"/>
        <item x="20"/>
        <item x="11"/>
        <item x="14"/>
        <item x="53"/>
        <item x="40"/>
        <item x="41"/>
        <item x="39"/>
        <item x="6"/>
        <item x="5"/>
        <item x="2"/>
        <item x="4"/>
        <item x="1"/>
        <item x="3"/>
        <item x="38"/>
        <item x="63"/>
        <item x="57"/>
        <item x="50"/>
        <item x="36"/>
        <item x="65"/>
        <item x="28"/>
        <item x="43"/>
        <item x="66"/>
        <item x="44"/>
        <item x="30"/>
        <item x="0"/>
        <item x="7"/>
        <item x="48"/>
        <item x="8"/>
      </items>
    </pivotField>
    <pivotField dataField="1" compact="0" showAll="0" defaultSubtotal="0"/>
    <pivotField compact="0" showAll="0" defaultSubtotal="0"/>
    <pivotField compact="0" showAll="0" defaultSubtotal="0"/>
    <pivotField compact="0" showAll="0" defaultSubtotal="0"/>
    <pivotField compact="0" showAll="0" defaultSubtotal="0"/>
    <pivotField compact="0" showAll="0" defaultSubtotal="0"/>
    <pivotField dataField="1" compact="0" showAll="0" defaultSubtotal="0"/>
    <pivotField compact="0" showAll="0" defaultSubtotal="0"/>
    <pivotField compact="0" showAll="0" defaultSubtotal="0"/>
    <pivotField compact="0" showAll="0" defaultSubtotal="0"/>
    <pivotField dataField="1" compact="0" showAll="0" defaultSubtotal="0"/>
    <pivotField compact="0" showAll="0" defaultSubtotal="0"/>
    <pivotField compact="0" showAll="0" defaultSubtotal="0"/>
    <pivotField compact="0" showAll="0" defaultSubtotal="0"/>
    <pivotField dataField="1" compact="0" showAll="0" defaultSubtotal="0"/>
    <pivotField compact="0" showAll="0" defaultSubtotal="0"/>
    <pivotField compact="0" showAll="0" defaultSubtotal="0"/>
    <pivotField compact="0" showAll="0" defaultSubtotal="0"/>
    <pivotField dataField="1" compact="0" showAll="0" defaultSubtotal="0"/>
    <pivotField compact="0" showAll="0" defaultSubtotal="0"/>
    <pivotField compact="0" showAll="0" defaultSubtotal="0"/>
    <pivotField compact="0" showAll="0" defaultSubtotal="0"/>
    <pivotField dataField="1" compact="0" showAll="0" defaultSubtotal="0"/>
  </pivotFields>
  <rowFields count="1">
    <field x="0"/>
  </rowFields>
  <rowItems count="3">
    <i>
      <x/>
    </i>
    <i>
      <x v="1"/>
    </i>
    <i>
      <x v="2"/>
    </i>
  </rowItems>
  <colFields count="1">
    <field x="-2"/>
  </colFields>
  <colItems count="6">
    <i>
      <x/>
    </i>
    <i i="1">
      <x v="1"/>
    </i>
    <i i="2">
      <x v="2"/>
    </i>
    <i i="3">
      <x v="3"/>
    </i>
    <i i="4">
      <x v="4"/>
    </i>
    <i i="5">
      <x v="5"/>
    </i>
  </colItems>
  <dataFields count="6">
    <dataField name="Som van 2022" fld="24" baseField="0" baseItem="0"/>
    <dataField name="Som van 2023" fld="20" baseField="0" baseItem="0"/>
    <dataField name="Som van 2024" fld="16" baseField="0" baseItem="0"/>
    <dataField name="Som van 2025" fld="12" baseField="0" baseItem="0"/>
    <dataField name="Som van 2026" fld="8" baseField="0" baseItem="0"/>
    <dataField name="Som van 2027" fld="2" baseField="0" baseItem="0"/>
  </dataFields>
  <formats count="1">
    <format dxfId="0">
      <pivotArea outline="0" collapsedLevelsAreSubtotals="1" fieldPosition="0"/>
    </format>
  </formats>
  <chartFormats count="6">
    <chartFormat chart="0" format="0" series="1">
      <pivotArea type="data" outline="0" fieldPosition="0">
        <references count="1">
          <reference field="4294967294" count="1" selected="0">
            <x v="0"/>
          </reference>
        </references>
      </pivotArea>
    </chartFormat>
    <chartFormat chart="0" format="1" series="1">
      <pivotArea type="data" outline="0" fieldPosition="0">
        <references count="1">
          <reference field="4294967294" count="1" selected="0">
            <x v="1"/>
          </reference>
        </references>
      </pivotArea>
    </chartFormat>
    <chartFormat chart="0" format="2" series="1">
      <pivotArea type="data" outline="0" fieldPosition="0">
        <references count="1">
          <reference field="4294967294" count="1" selected="0">
            <x v="2"/>
          </reference>
        </references>
      </pivotArea>
    </chartFormat>
    <chartFormat chart="0" format="3" series="1">
      <pivotArea type="data" outline="0" fieldPosition="0">
        <references count="1">
          <reference field="4294967294" count="1" selected="0">
            <x v="3"/>
          </reference>
        </references>
      </pivotArea>
    </chartFormat>
    <chartFormat chart="0" format="4" series="1">
      <pivotArea type="data" outline="0" fieldPosition="0">
        <references count="1">
          <reference field="4294967294" count="1" selected="0">
            <x v="4"/>
          </reference>
        </references>
      </pivotArea>
    </chartFormat>
    <chartFormat chart="0" format="5" series="1">
      <pivotArea type="data" outline="0" fieldPosition="0">
        <references count="1">
          <reference field="4294967294" count="1" selected="0">
            <x v="5"/>
          </reference>
        </references>
      </pivotArea>
    </chartFormat>
  </chartFormat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 EnabledSubtotalsDefault="0" SubtotalsOnTopDefault="0"/>
    </ext>
  </extLst>
</pivotTableDefinition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18688DD1-16AD-2041-AE0E-FA67506657AF}" name="Tabel1" displayName="Tabel1" ref="K27:P38" totalsRowShown="0" headerRowDxfId="1">
  <autoFilter ref="K27:P38" xr:uid="{18688DD1-16AD-2041-AE0E-FA67506657AF}"/>
  <tableColumns count="6">
    <tableColumn id="1" xr3:uid="{956D4303-179D-FD49-8D51-EE048784565D}" name="AD"/>
    <tableColumn id="2" xr3:uid="{0E4ABE92-087B-2A45-BA4C-0D0A60BA85D9}" name="ramen"/>
    <tableColumn id="3" xr3:uid="{12FAEA18-FB9D-BE40-BC22-DE0E8452DAAF}" name="bad met knop"/>
    <tableColumn id="4" xr3:uid="{04F9D821-75AC-FB45-8519-D2B1B82E8482}" name="bad zonder knop"/>
    <tableColumn id="5" xr3:uid="{96EBD190-9A05-3642-8B1D-8A388A6284F0}" name="Kolom1"/>
    <tableColumn id="6" xr3:uid="{2A827B8E-BF93-4044-8AE3-25D08334A642}" name="Kolom2"/>
  </tableColumns>
  <tableStyleInfo name="TableStyleLight15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A9D96722-B2BB-F04D-9EDB-EA3E63D3D67B}" name="Tabel2" displayName="Tabel2" ref="K40:L51" totalsRowShown="0">
  <autoFilter ref="K40:L51" xr:uid="{A9D96722-B2BB-F04D-9EDB-EA3E63D3D67B}"/>
  <tableColumns count="2">
    <tableColumn id="1" xr3:uid="{3FD54733-21F0-6E41-B88D-01DE02CF3DAF}" name="Radiatoren algemene ruimtes"/>
    <tableColumn id="2" xr3:uid="{83EF234E-F358-C64F-9B7D-A904872F91B6}" name="Aantal"/>
  </tableColumns>
  <tableStyleInfo name="TableStyleLight1" showFirstColumn="0" showLastColumn="0" showRowStripes="1" showColumnStripes="0"/>
</table>
</file>

<file path=xl/theme/theme1.xml><?xml version="1.0" encoding="utf-8"?>
<a:theme xmlns:a="http://schemas.openxmlformats.org/drawingml/2006/main" name="Office 2013 - 2022 Thema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2.xml"/><Relationship Id="rId2" Type="http://schemas.openxmlformats.org/officeDocument/2006/relationships/table" Target="../tables/table1.xml"/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7791DBB-EA0E-6343-89BC-EDA0A2ED3523}">
  <sheetPr codeName="Blad1"/>
  <dimension ref="A2:X97"/>
  <sheetViews>
    <sheetView zoomScale="110" zoomScaleNormal="110" workbookViewId="0">
      <selection activeCell="C14" sqref="C14"/>
    </sheetView>
  </sheetViews>
  <sheetFormatPr baseColWidth="10" defaultColWidth="10.83203125" defaultRowHeight="16"/>
  <cols>
    <col min="2" max="2" width="14" customWidth="1"/>
    <col min="3" max="3" width="13" bestFit="1" customWidth="1"/>
    <col min="4" max="4" width="19.33203125" customWidth="1"/>
    <col min="5" max="5" width="8.1640625" customWidth="1"/>
    <col min="6" max="6" width="15.6640625" customWidth="1"/>
    <col min="8" max="8" width="8.33203125" customWidth="1"/>
    <col min="9" max="9" width="19.1640625" customWidth="1"/>
    <col min="10" max="10" width="16.83203125" customWidth="1"/>
    <col min="11" max="11" width="27.83203125" customWidth="1"/>
    <col min="12" max="12" width="13.83203125" customWidth="1"/>
    <col min="13" max="13" width="16" customWidth="1"/>
    <col min="14" max="14" width="17" customWidth="1"/>
    <col min="15" max="15" width="16" bestFit="1" customWidth="1"/>
    <col min="16" max="16" width="13.83203125" bestFit="1" customWidth="1"/>
    <col min="17" max="17" width="13.83203125" customWidth="1"/>
    <col min="18" max="18" width="17.6640625" customWidth="1"/>
    <col min="19" max="20" width="16" bestFit="1" customWidth="1"/>
    <col min="22" max="22" width="16" bestFit="1" customWidth="1"/>
  </cols>
  <sheetData>
    <row r="2" spans="1:24">
      <c r="B2" s="1" t="s">
        <v>14</v>
      </c>
    </row>
    <row r="3" spans="1:24">
      <c r="A3" t="s">
        <v>268</v>
      </c>
      <c r="B3" t="s">
        <v>17</v>
      </c>
    </row>
    <row r="4" spans="1:24">
      <c r="A4" t="s">
        <v>281</v>
      </c>
      <c r="B4" t="s">
        <v>18</v>
      </c>
    </row>
    <row r="5" spans="1:24">
      <c r="A5" s="1" t="s">
        <v>13</v>
      </c>
      <c r="B5" s="1" t="s">
        <v>19</v>
      </c>
    </row>
    <row r="6" spans="1:24">
      <c r="A6" t="s">
        <v>280</v>
      </c>
      <c r="B6" s="18">
        <f>75/10000</f>
        <v>7.4999999999999997E-3</v>
      </c>
    </row>
    <row r="7" spans="1:24">
      <c r="C7" s="2"/>
    </row>
    <row r="8" spans="1:24">
      <c r="B8" s="1" t="s">
        <v>20</v>
      </c>
      <c r="C8" s="2"/>
    </row>
    <row r="9" spans="1:24">
      <c r="B9" s="6">
        <f>D27</f>
        <v>204</v>
      </c>
      <c r="C9" s="2"/>
    </row>
    <row r="10" spans="1:24">
      <c r="C10" s="2"/>
    </row>
    <row r="11" spans="1:24">
      <c r="C11" s="2"/>
    </row>
    <row r="12" spans="1:24" ht="17" thickBot="1">
      <c r="B12" s="8"/>
      <c r="C12" s="2"/>
    </row>
    <row r="13" spans="1:24" ht="18" customHeight="1" thickBot="1">
      <c r="C13" s="2"/>
      <c r="G13" s="146"/>
      <c r="H13" s="148"/>
      <c r="I13" s="146" t="s">
        <v>384</v>
      </c>
      <c r="J13" s="147"/>
      <c r="K13" s="147"/>
      <c r="L13" s="148"/>
      <c r="M13" s="146" t="s">
        <v>385</v>
      </c>
      <c r="N13" s="148"/>
      <c r="O13" s="86"/>
      <c r="P13" s="86"/>
      <c r="Q13" s="86"/>
    </row>
    <row r="14" spans="1:24" ht="77" customHeight="1">
      <c r="A14" s="39"/>
      <c r="B14" s="59" t="s">
        <v>292</v>
      </c>
      <c r="C14" s="56">
        <v>10000</v>
      </c>
      <c r="D14" s="42" t="s">
        <v>13</v>
      </c>
      <c r="F14" s="1"/>
      <c r="G14" s="89" t="s">
        <v>290</v>
      </c>
      <c r="H14" s="99" t="s">
        <v>402</v>
      </c>
      <c r="I14" s="87" t="s">
        <v>403</v>
      </c>
      <c r="J14" s="68" t="s">
        <v>404</v>
      </c>
      <c r="K14" s="68" t="s">
        <v>405</v>
      </c>
      <c r="L14" s="88" t="s">
        <v>406</v>
      </c>
      <c r="M14" s="87" t="s">
        <v>407</v>
      </c>
      <c r="N14" s="88" t="s">
        <v>408</v>
      </c>
      <c r="O14" s="68" t="s">
        <v>355</v>
      </c>
      <c r="P14" s="68" t="s">
        <v>354</v>
      </c>
      <c r="Q14" s="68" t="s">
        <v>356</v>
      </c>
      <c r="R14" s="81" t="s">
        <v>362</v>
      </c>
      <c r="S14" s="81" t="s">
        <v>363</v>
      </c>
      <c r="T14" s="81" t="s">
        <v>360</v>
      </c>
      <c r="U14" s="81" t="s">
        <v>361</v>
      </c>
      <c r="V14" s="82"/>
      <c r="W14" s="82"/>
      <c r="X14" s="82"/>
    </row>
    <row r="15" spans="1:24">
      <c r="A15" s="37" t="s">
        <v>268</v>
      </c>
      <c r="B15" s="38">
        <v>46</v>
      </c>
      <c r="C15" s="38">
        <f t="shared" ref="C15:C22" si="0">B15/$C$14</f>
        <v>4.5999999999999999E-3</v>
      </c>
      <c r="D15" s="43">
        <f>COUNTIF('Eigendomsoverzicht (2)'!K2:K220,A15)</f>
        <v>151</v>
      </c>
      <c r="F15" s="1"/>
      <c r="G15" s="89" t="s">
        <v>268</v>
      </c>
      <c r="H15" s="96">
        <f>D15-10</f>
        <v>141</v>
      </c>
      <c r="I15" s="89" t="s">
        <v>396</v>
      </c>
      <c r="J15">
        <v>1</v>
      </c>
      <c r="K15">
        <f t="shared" ref="K15:K21" si="1">H15*J15</f>
        <v>141</v>
      </c>
      <c r="L15" s="90"/>
      <c r="M15" s="89">
        <v>2</v>
      </c>
      <c r="N15" s="95">
        <f>M15*H15</f>
        <v>282</v>
      </c>
      <c r="O15" s="79">
        <v>72</v>
      </c>
      <c r="P15" s="78">
        <f t="shared" ref="P15:P22" si="2">O15/SUM($O$15:$O$22)</f>
        <v>0.13235294117647059</v>
      </c>
      <c r="Q15" s="80">
        <f>H15*O15</f>
        <v>10152</v>
      </c>
      <c r="R15" s="83">
        <f t="shared" ref="R15:R22" si="3">($R$23*Q15)/$Q$23</f>
        <v>464082.28674342314</v>
      </c>
      <c r="S15" s="84">
        <f t="shared" ref="S15:S22" si="4">R15/H15</f>
        <v>3291.3637357689586</v>
      </c>
      <c r="T15" s="84">
        <f>'2027 Begroting posten'!F47</f>
        <v>2156.2408</v>
      </c>
      <c r="U15" s="85">
        <f>S15-T15</f>
        <v>1135.1229357689585</v>
      </c>
      <c r="V15" s="82"/>
      <c r="W15" s="82"/>
      <c r="X15" s="82"/>
    </row>
    <row r="16" spans="1:24">
      <c r="A16" s="22" t="s">
        <v>280</v>
      </c>
      <c r="B16">
        <f>B15+B19</f>
        <v>75</v>
      </c>
      <c r="C16">
        <f t="shared" si="0"/>
        <v>7.4999999999999997E-3</v>
      </c>
      <c r="D16" s="47"/>
      <c r="G16" s="89" t="s">
        <v>353</v>
      </c>
      <c r="H16" s="96">
        <v>10</v>
      </c>
      <c r="I16" s="89" t="s">
        <v>397</v>
      </c>
      <c r="J16">
        <v>1</v>
      </c>
      <c r="K16">
        <v>1</v>
      </c>
      <c r="L16" s="90">
        <f>M38</f>
        <v>7</v>
      </c>
      <c r="M16" s="89">
        <v>4</v>
      </c>
      <c r="N16" s="95">
        <f>M16*H16+L16</f>
        <v>47</v>
      </c>
      <c r="O16" s="79">
        <v>107</v>
      </c>
      <c r="P16" s="78">
        <f t="shared" si="2"/>
        <v>0.19669117647058823</v>
      </c>
      <c r="Q16" s="80">
        <f>H16*O16</f>
        <v>1070</v>
      </c>
      <c r="R16" s="83">
        <f t="shared" si="3"/>
        <v>48913.322184344244</v>
      </c>
      <c r="S16" s="84">
        <f t="shared" si="4"/>
        <v>4891.3322184344242</v>
      </c>
      <c r="T16" s="85">
        <f>'2027 Begroting posten'!D47</f>
        <v>3515.6099999999997</v>
      </c>
      <c r="U16" s="85">
        <f t="shared" ref="U16:U22" si="5">S16-T16</f>
        <v>1375.7222184344246</v>
      </c>
      <c r="V16" s="82"/>
      <c r="W16" s="82"/>
      <c r="X16" s="82"/>
    </row>
    <row r="17" spans="1:24">
      <c r="A17" s="22" t="s">
        <v>276</v>
      </c>
      <c r="B17">
        <v>55</v>
      </c>
      <c r="C17">
        <f t="shared" si="0"/>
        <v>5.4999999999999997E-3</v>
      </c>
      <c r="D17" s="43">
        <f>COUNTIF('Eigendomsoverzicht (2)'!K2:K220,A17)</f>
        <v>12</v>
      </c>
      <c r="G17" s="89" t="s">
        <v>276</v>
      </c>
      <c r="H17" s="96">
        <f>D17</f>
        <v>12</v>
      </c>
      <c r="I17" s="89" t="s">
        <v>398</v>
      </c>
      <c r="J17">
        <v>1</v>
      </c>
      <c r="K17">
        <f t="shared" si="1"/>
        <v>12</v>
      </c>
      <c r="L17" s="90"/>
      <c r="M17" s="89">
        <v>3</v>
      </c>
      <c r="N17" s="95">
        <f>M17*H17</f>
        <v>36</v>
      </c>
      <c r="O17" s="79">
        <v>90</v>
      </c>
      <c r="P17" s="78">
        <f t="shared" si="2"/>
        <v>0.16544117647058823</v>
      </c>
      <c r="Q17" s="80">
        <f>H17*O17</f>
        <v>1080</v>
      </c>
      <c r="R17" s="83">
        <f t="shared" si="3"/>
        <v>49370.456036534379</v>
      </c>
      <c r="S17" s="84">
        <f t="shared" si="4"/>
        <v>4114.2046697111982</v>
      </c>
      <c r="T17" s="85">
        <f>'2027 Begroting posten'!H47</f>
        <v>2578.114</v>
      </c>
      <c r="U17" s="85">
        <f t="shared" si="5"/>
        <v>1536.0906697111982</v>
      </c>
      <c r="V17" s="82"/>
      <c r="W17" s="82"/>
      <c r="X17" s="82"/>
    </row>
    <row r="18" spans="1:24">
      <c r="A18" s="22" t="s">
        <v>277</v>
      </c>
      <c r="B18">
        <v>62</v>
      </c>
      <c r="C18">
        <f t="shared" si="0"/>
        <v>6.1999999999999998E-3</v>
      </c>
      <c r="D18" s="43">
        <f>COUNTIF('Eigendomsoverzicht (2)'!K2:K220,A18)</f>
        <v>25</v>
      </c>
      <c r="G18" s="89" t="s">
        <v>277</v>
      </c>
      <c r="H18" s="96">
        <f>D18</f>
        <v>25</v>
      </c>
      <c r="I18" s="89" t="s">
        <v>398</v>
      </c>
      <c r="J18">
        <v>1</v>
      </c>
      <c r="K18">
        <f t="shared" si="1"/>
        <v>25</v>
      </c>
      <c r="L18" s="90"/>
      <c r="M18" s="89">
        <v>4</v>
      </c>
      <c r="N18" s="95">
        <f>M18*H18</f>
        <v>100</v>
      </c>
      <c r="O18" s="79">
        <v>95</v>
      </c>
      <c r="P18" s="78">
        <f t="shared" si="2"/>
        <v>0.17463235294117646</v>
      </c>
      <c r="Q18" s="80">
        <f>H18*O18</f>
        <v>2375</v>
      </c>
      <c r="R18" s="83">
        <f t="shared" si="3"/>
        <v>108569.28989515662</v>
      </c>
      <c r="S18" s="84">
        <f t="shared" si="4"/>
        <v>4342.7715958062645</v>
      </c>
      <c r="T18" s="85">
        <f>'2027 Begroting posten'!J47</f>
        <v>2906.2375999999999</v>
      </c>
      <c r="U18" s="85">
        <f t="shared" si="5"/>
        <v>1436.5339958062646</v>
      </c>
      <c r="V18" s="82"/>
      <c r="W18" s="82"/>
      <c r="X18" s="82"/>
    </row>
    <row r="19" spans="1:24">
      <c r="A19" s="22" t="s">
        <v>281</v>
      </c>
      <c r="B19">
        <v>29</v>
      </c>
      <c r="C19">
        <f t="shared" si="0"/>
        <v>2.8999999999999998E-3</v>
      </c>
      <c r="D19" s="43">
        <f>COUNTIF('Eigendomsoverzicht (2)'!K2:K220,A19)</f>
        <v>25</v>
      </c>
      <c r="G19" s="89" t="s">
        <v>281</v>
      </c>
      <c r="H19" s="96">
        <f>D19-H16</f>
        <v>15</v>
      </c>
      <c r="I19" s="89" t="s">
        <v>399</v>
      </c>
      <c r="J19">
        <v>0</v>
      </c>
      <c r="K19">
        <f t="shared" si="1"/>
        <v>0</v>
      </c>
      <c r="L19" s="90">
        <v>15</v>
      </c>
      <c r="M19" s="89">
        <v>2</v>
      </c>
      <c r="N19" s="95">
        <f>L19+M19*H19</f>
        <v>45</v>
      </c>
      <c r="O19" s="79">
        <v>45</v>
      </c>
      <c r="P19" s="78">
        <f t="shared" si="2"/>
        <v>8.2720588235294115E-2</v>
      </c>
      <c r="Q19" s="80">
        <f>H19*O19</f>
        <v>675</v>
      </c>
      <c r="R19" s="83">
        <f t="shared" si="3"/>
        <v>30856.535022833988</v>
      </c>
      <c r="S19" s="84">
        <f t="shared" si="4"/>
        <v>2057.1023348555991</v>
      </c>
      <c r="T19" s="85">
        <f>'2027 Begroting posten'!L47</f>
        <v>1359.3691999999999</v>
      </c>
      <c r="U19" s="85">
        <f t="shared" si="5"/>
        <v>697.73313485559925</v>
      </c>
      <c r="V19" s="82"/>
      <c r="W19" s="82"/>
      <c r="X19" s="82"/>
    </row>
    <row r="20" spans="1:24">
      <c r="A20" s="22" t="s">
        <v>293</v>
      </c>
      <c r="B20">
        <v>15</v>
      </c>
      <c r="C20">
        <f t="shared" si="0"/>
        <v>1.5E-3</v>
      </c>
      <c r="D20" s="43">
        <f>COUNTIF('Eigendomsoverzicht (2)'!K2:K220,A20)</f>
        <v>3</v>
      </c>
      <c r="G20" s="89" t="s">
        <v>293</v>
      </c>
      <c r="H20" s="96">
        <f>D20</f>
        <v>3</v>
      </c>
      <c r="I20" s="89" t="s">
        <v>379</v>
      </c>
      <c r="J20">
        <v>0</v>
      </c>
      <c r="K20">
        <f t="shared" si="1"/>
        <v>0</v>
      </c>
      <c r="L20" s="90"/>
      <c r="M20" s="89">
        <v>1</v>
      </c>
      <c r="N20" s="95">
        <f>M20*H20</f>
        <v>3</v>
      </c>
      <c r="O20" s="79">
        <v>20</v>
      </c>
      <c r="P20" s="78">
        <f t="shared" si="2"/>
        <v>3.6764705882352942E-2</v>
      </c>
      <c r="Q20" s="80">
        <v>50</v>
      </c>
      <c r="R20" s="83">
        <f t="shared" si="3"/>
        <v>2285.6692609506658</v>
      </c>
      <c r="S20" s="84">
        <f t="shared" si="4"/>
        <v>761.88975365022191</v>
      </c>
      <c r="T20" s="85">
        <f>'2027 Begroting posten'!P47</f>
        <v>703.12200000000007</v>
      </c>
      <c r="U20" s="85">
        <f t="shared" si="5"/>
        <v>58.767753650221835</v>
      </c>
      <c r="V20" s="82"/>
      <c r="W20" s="82"/>
      <c r="X20" s="82"/>
    </row>
    <row r="21" spans="1:24">
      <c r="A21" s="22" t="s">
        <v>294</v>
      </c>
      <c r="B21">
        <v>18</v>
      </c>
      <c r="C21">
        <f t="shared" si="0"/>
        <v>1.8E-3</v>
      </c>
      <c r="D21" s="43">
        <f>COUNTIF('Eigendomsoverzicht (2)'!K2:K220,A21)</f>
        <v>2</v>
      </c>
      <c r="G21" s="89" t="s">
        <v>294</v>
      </c>
      <c r="H21" s="96">
        <f>D21</f>
        <v>2</v>
      </c>
      <c r="I21" s="89" t="s">
        <v>379</v>
      </c>
      <c r="J21">
        <v>0</v>
      </c>
      <c r="K21">
        <f t="shared" si="1"/>
        <v>0</v>
      </c>
      <c r="L21" s="90"/>
      <c r="M21" s="89">
        <v>1</v>
      </c>
      <c r="N21" s="95">
        <f>M21*H21</f>
        <v>2</v>
      </c>
      <c r="O21" s="79">
        <v>20</v>
      </c>
      <c r="P21" s="78">
        <f t="shared" si="2"/>
        <v>3.6764705882352942E-2</v>
      </c>
      <c r="Q21" s="80">
        <v>50</v>
      </c>
      <c r="R21" s="83">
        <f t="shared" si="3"/>
        <v>2285.6692609506658</v>
      </c>
      <c r="S21" s="84">
        <f t="shared" si="4"/>
        <v>1142.8346304753329</v>
      </c>
      <c r="T21" s="85">
        <f>'2027 Begroting posten'!Q47</f>
        <v>843.74639999999999</v>
      </c>
      <c r="U21" s="85">
        <f t="shared" si="5"/>
        <v>299.08823047533292</v>
      </c>
      <c r="V21" s="82"/>
      <c r="W21" s="82"/>
      <c r="X21" s="82"/>
    </row>
    <row r="22" spans="1:24">
      <c r="A22" s="22" t="s">
        <v>287</v>
      </c>
      <c r="B22">
        <v>38</v>
      </c>
      <c r="C22">
        <f t="shared" si="0"/>
        <v>3.8E-3</v>
      </c>
      <c r="D22" s="43">
        <f>COUNTIF('Eigendomsoverzicht (2)'!K2:K220,A22)</f>
        <v>1</v>
      </c>
      <c r="G22" s="89" t="s">
        <v>287</v>
      </c>
      <c r="H22" s="96">
        <f>D22</f>
        <v>1</v>
      </c>
      <c r="I22" s="89" t="s">
        <v>399</v>
      </c>
      <c r="J22">
        <v>0</v>
      </c>
      <c r="K22">
        <v>0</v>
      </c>
      <c r="L22" s="90">
        <v>1</v>
      </c>
      <c r="M22" s="89">
        <v>3</v>
      </c>
      <c r="N22" s="95">
        <f>M22*H22+L22</f>
        <v>4</v>
      </c>
      <c r="O22" s="79">
        <v>95</v>
      </c>
      <c r="P22" s="78">
        <f t="shared" si="2"/>
        <v>0.17463235294117646</v>
      </c>
      <c r="Q22" s="80">
        <f>H22*O22</f>
        <v>95</v>
      </c>
      <c r="R22" s="83">
        <f t="shared" si="3"/>
        <v>4342.7715958062645</v>
      </c>
      <c r="S22" s="84">
        <f t="shared" si="4"/>
        <v>4342.7715958062645</v>
      </c>
      <c r="T22" s="85">
        <f>'2027 Begroting posten'!N47</f>
        <v>1781.2424000000001</v>
      </c>
      <c r="U22" s="85">
        <f t="shared" si="5"/>
        <v>2561.5291958062644</v>
      </c>
      <c r="V22" s="82" t="s">
        <v>357</v>
      </c>
      <c r="W22" s="82" t="s">
        <v>358</v>
      </c>
      <c r="X22" s="82" t="s">
        <v>359</v>
      </c>
    </row>
    <row r="23" spans="1:24">
      <c r="A23" s="141" t="s">
        <v>254</v>
      </c>
      <c r="B23" s="142"/>
      <c r="C23" s="143"/>
      <c r="D23" s="46">
        <f>SUM(D15:D22)</f>
        <v>219</v>
      </c>
      <c r="G23" s="89"/>
      <c r="H23" s="97">
        <f>SUM(H15:H22)</f>
        <v>209</v>
      </c>
      <c r="I23" s="91"/>
      <c r="J23" s="1"/>
      <c r="L23" s="90"/>
      <c r="M23" s="91"/>
      <c r="N23" s="90"/>
      <c r="O23">
        <f>SUM(O15:O22)</f>
        <v>544</v>
      </c>
      <c r="P23" s="79"/>
      <c r="Q23" s="80">
        <f>SUM(Q15:Q22)</f>
        <v>15547</v>
      </c>
      <c r="R23" s="84">
        <v>710706</v>
      </c>
      <c r="S23" s="82"/>
      <c r="T23" s="82"/>
      <c r="U23" s="82"/>
      <c r="V23" s="82"/>
      <c r="W23" s="82"/>
      <c r="X23" s="82"/>
    </row>
    <row r="24" spans="1:24" ht="17" thickBot="1">
      <c r="A24" s="22" t="s">
        <v>280</v>
      </c>
      <c r="B24" t="s">
        <v>327</v>
      </c>
      <c r="C24" s="2"/>
      <c r="D24">
        <f>COUNTIF('Eigendomsoverzicht (2)'!N1:N220,A24)</f>
        <v>10</v>
      </c>
      <c r="G24" s="92"/>
      <c r="H24" s="98"/>
      <c r="I24" s="92"/>
      <c r="J24" s="93"/>
      <c r="K24" s="93">
        <f>SUM(K15:K22)</f>
        <v>179</v>
      </c>
      <c r="L24" s="94"/>
      <c r="M24" s="92"/>
      <c r="N24" s="94">
        <f>SUM(N15:N22)</f>
        <v>519</v>
      </c>
      <c r="O24" s="79"/>
    </row>
    <row r="25" spans="1:24">
      <c r="B25" t="s">
        <v>252</v>
      </c>
      <c r="C25" s="2"/>
      <c r="D25" s="1">
        <f>D23-D24</f>
        <v>209</v>
      </c>
    </row>
    <row r="26" spans="1:24" ht="36" customHeight="1">
      <c r="A26" s="13" t="s">
        <v>299</v>
      </c>
      <c r="B26" s="13" t="s">
        <v>326</v>
      </c>
      <c r="C26" s="58"/>
      <c r="D26" s="13">
        <f>D20+D21</f>
        <v>5</v>
      </c>
      <c r="E26" s="138" t="s">
        <v>331</v>
      </c>
      <c r="F26" s="139"/>
      <c r="G26" s="139"/>
      <c r="H26" s="139"/>
      <c r="I26" s="139"/>
      <c r="J26" s="139"/>
      <c r="K26" s="139"/>
      <c r="L26" s="139"/>
    </row>
    <row r="27" spans="1:24">
      <c r="B27" s="1" t="s">
        <v>298</v>
      </c>
      <c r="C27" s="2"/>
      <c r="D27" s="1">
        <f>D25-D26</f>
        <v>204</v>
      </c>
      <c r="K27" s="1" t="s">
        <v>353</v>
      </c>
      <c r="L27" s="1" t="s">
        <v>377</v>
      </c>
      <c r="M27" s="1" t="s">
        <v>400</v>
      </c>
      <c r="N27" s="1" t="s">
        <v>401</v>
      </c>
      <c r="O27" s="1" t="s">
        <v>409</v>
      </c>
      <c r="P27" s="1" t="s">
        <v>414</v>
      </c>
    </row>
    <row r="28" spans="1:24">
      <c r="C28" s="2"/>
      <c r="J28" t="s">
        <v>411</v>
      </c>
      <c r="K28" t="s">
        <v>369</v>
      </c>
      <c r="L28">
        <v>4</v>
      </c>
      <c r="M28">
        <v>1</v>
      </c>
      <c r="N28">
        <v>1</v>
      </c>
      <c r="O28" t="s">
        <v>413</v>
      </c>
      <c r="P28" t="s">
        <v>410</v>
      </c>
    </row>
    <row r="29" spans="1:24">
      <c r="C29" s="2"/>
      <c r="J29" t="s">
        <v>412</v>
      </c>
      <c r="K29" t="s">
        <v>370</v>
      </c>
      <c r="L29">
        <v>4</v>
      </c>
      <c r="M29">
        <v>1</v>
      </c>
      <c r="N29">
        <v>0</v>
      </c>
      <c r="O29" t="s">
        <v>413</v>
      </c>
    </row>
    <row r="30" spans="1:24" ht="21">
      <c r="A30" s="145" t="s">
        <v>330</v>
      </c>
      <c r="B30" s="145"/>
      <c r="C30" s="145"/>
      <c r="D30" s="145"/>
      <c r="E30" s="145"/>
      <c r="F30" s="145"/>
      <c r="G30" s="145"/>
      <c r="H30" s="145"/>
      <c r="J30" t="s">
        <v>416</v>
      </c>
      <c r="K30" t="s">
        <v>371</v>
      </c>
      <c r="O30" t="s">
        <v>413</v>
      </c>
    </row>
    <row r="31" spans="1:24">
      <c r="C31" s="2"/>
      <c r="J31" t="s">
        <v>417</v>
      </c>
      <c r="K31" t="s">
        <v>373</v>
      </c>
      <c r="L31">
        <v>4</v>
      </c>
      <c r="M31">
        <v>2</v>
      </c>
      <c r="N31">
        <v>0</v>
      </c>
      <c r="O31" t="s">
        <v>415</v>
      </c>
    </row>
    <row r="32" spans="1:24">
      <c r="C32" s="2"/>
      <c r="J32" t="s">
        <v>418</v>
      </c>
      <c r="K32" t="s">
        <v>372</v>
      </c>
      <c r="L32">
        <v>4</v>
      </c>
      <c r="M32">
        <v>0</v>
      </c>
      <c r="N32">
        <v>0</v>
      </c>
      <c r="O32" t="s">
        <v>413</v>
      </c>
    </row>
    <row r="33" spans="2:15">
      <c r="C33" s="2"/>
      <c r="J33" t="s">
        <v>419</v>
      </c>
      <c r="K33" t="s">
        <v>374</v>
      </c>
      <c r="L33">
        <v>4</v>
      </c>
      <c r="M33">
        <v>1</v>
      </c>
      <c r="N33">
        <v>0</v>
      </c>
      <c r="O33" t="s">
        <v>415</v>
      </c>
    </row>
    <row r="34" spans="2:15">
      <c r="C34" s="2"/>
      <c r="J34" t="s">
        <v>420</v>
      </c>
      <c r="K34" s="1" t="s">
        <v>375</v>
      </c>
      <c r="L34">
        <v>4</v>
      </c>
      <c r="M34">
        <v>1</v>
      </c>
      <c r="N34">
        <v>0</v>
      </c>
      <c r="O34" t="s">
        <v>413</v>
      </c>
    </row>
    <row r="35" spans="2:15">
      <c r="C35" s="2"/>
      <c r="J35" t="s">
        <v>421</v>
      </c>
      <c r="K35" t="s">
        <v>376</v>
      </c>
      <c r="L35">
        <v>4</v>
      </c>
      <c r="M35">
        <v>0</v>
      </c>
      <c r="N35">
        <v>0</v>
      </c>
      <c r="O35" t="s">
        <v>415</v>
      </c>
    </row>
    <row r="36" spans="2:15">
      <c r="C36" s="2"/>
      <c r="J36" t="s">
        <v>422</v>
      </c>
      <c r="K36" s="6" t="s">
        <v>394</v>
      </c>
      <c r="L36">
        <v>4</v>
      </c>
      <c r="M36">
        <v>1</v>
      </c>
      <c r="N36">
        <v>0</v>
      </c>
      <c r="O36" t="s">
        <v>415</v>
      </c>
    </row>
    <row r="37" spans="2:15">
      <c r="C37" s="2"/>
      <c r="J37" t="s">
        <v>423</v>
      </c>
      <c r="K37" t="s">
        <v>395</v>
      </c>
      <c r="L37">
        <v>4</v>
      </c>
      <c r="M37">
        <v>0</v>
      </c>
      <c r="N37">
        <v>0</v>
      </c>
      <c r="O37" t="s">
        <v>415</v>
      </c>
    </row>
    <row r="38" spans="2:15">
      <c r="C38" s="2"/>
      <c r="K38" t="s">
        <v>378</v>
      </c>
      <c r="M38">
        <f>SUM(M28:M37)</f>
        <v>7</v>
      </c>
      <c r="N38">
        <f>SUM(N28:N36)</f>
        <v>1</v>
      </c>
    </row>
    <row r="39" spans="2:15">
      <c r="C39" s="2"/>
    </row>
    <row r="40" spans="2:15" ht="17">
      <c r="B40" s="1"/>
      <c r="C40" s="2"/>
      <c r="K40" s="68" t="s">
        <v>380</v>
      </c>
      <c r="L40" s="1" t="s">
        <v>382</v>
      </c>
    </row>
    <row r="41" spans="2:15">
      <c r="C41" s="2"/>
      <c r="K41" t="s">
        <v>381</v>
      </c>
      <c r="L41">
        <v>1</v>
      </c>
    </row>
    <row r="42" spans="2:15">
      <c r="C42" s="2"/>
      <c r="K42" t="s">
        <v>393</v>
      </c>
      <c r="L42">
        <v>4</v>
      </c>
    </row>
    <row r="43" spans="2:15">
      <c r="C43" s="2"/>
      <c r="K43" t="s">
        <v>386</v>
      </c>
      <c r="L43">
        <v>12</v>
      </c>
    </row>
    <row r="44" spans="2:15">
      <c r="C44" s="2"/>
      <c r="K44" t="s">
        <v>383</v>
      </c>
      <c r="L44">
        <v>2</v>
      </c>
    </row>
    <row r="45" spans="2:15">
      <c r="C45" s="2"/>
      <c r="K45" t="s">
        <v>392</v>
      </c>
      <c r="L45">
        <v>4</v>
      </c>
    </row>
    <row r="46" spans="2:15">
      <c r="C46" s="2"/>
      <c r="K46" t="s">
        <v>387</v>
      </c>
      <c r="L46">
        <v>1</v>
      </c>
    </row>
    <row r="47" spans="2:15" ht="25" customHeight="1">
      <c r="C47" s="2"/>
      <c r="K47" t="s">
        <v>388</v>
      </c>
      <c r="L47">
        <v>1</v>
      </c>
    </row>
    <row r="48" spans="2:15" ht="25" customHeight="1">
      <c r="K48" t="s">
        <v>389</v>
      </c>
      <c r="L48">
        <v>2</v>
      </c>
    </row>
    <row r="49" spans="1:23" ht="25" customHeight="1">
      <c r="K49" t="s">
        <v>390</v>
      </c>
      <c r="L49">
        <v>3</v>
      </c>
    </row>
    <row r="50" spans="1:23" ht="25" customHeight="1">
      <c r="K50" t="s">
        <v>391</v>
      </c>
      <c r="L50">
        <v>2</v>
      </c>
    </row>
    <row r="51" spans="1:23" ht="25" customHeight="1">
      <c r="K51" s="1" t="s">
        <v>13</v>
      </c>
      <c r="L51" s="1">
        <f>SUM(L41:L50)</f>
        <v>32</v>
      </c>
    </row>
    <row r="52" spans="1:23" ht="25" customHeight="1">
      <c r="Q52" s="135" t="s">
        <v>347</v>
      </c>
      <c r="R52" s="135"/>
      <c r="S52" s="135"/>
      <c r="T52" s="135"/>
      <c r="U52" s="135"/>
      <c r="V52" s="135"/>
      <c r="W52" s="135"/>
    </row>
    <row r="53" spans="1:23" ht="35" customHeight="1">
      <c r="A53" s="140" t="s">
        <v>332</v>
      </c>
      <c r="B53" s="140"/>
      <c r="C53" s="140"/>
      <c r="D53" s="140"/>
      <c r="E53" s="140"/>
      <c r="F53" s="140"/>
      <c r="J53" s="140" t="s">
        <v>344</v>
      </c>
      <c r="K53" s="140"/>
      <c r="L53" s="140"/>
      <c r="M53" s="140"/>
      <c r="N53" s="140"/>
      <c r="O53" s="140"/>
      <c r="R53" s="136" t="s">
        <v>14</v>
      </c>
      <c r="S53" s="137"/>
      <c r="T53" s="1" t="s">
        <v>348</v>
      </c>
    </row>
    <row r="54" spans="1:23" ht="34" customHeight="1">
      <c r="A54" s="39"/>
      <c r="B54" s="59" t="s">
        <v>292</v>
      </c>
      <c r="C54" s="40">
        <v>10000</v>
      </c>
      <c r="D54" s="60">
        <v>34841500</v>
      </c>
      <c r="E54" s="61"/>
      <c r="F54" s="62"/>
      <c r="J54" s="39"/>
      <c r="K54" s="59" t="s">
        <v>292</v>
      </c>
      <c r="L54" s="40">
        <v>10000</v>
      </c>
      <c r="M54" s="60">
        <v>48432775</v>
      </c>
      <c r="N54" s="61"/>
      <c r="O54" s="62"/>
      <c r="Q54" s="75" t="s">
        <v>349</v>
      </c>
      <c r="R54" s="59" t="s">
        <v>350</v>
      </c>
      <c r="S54" s="40">
        <v>10000</v>
      </c>
      <c r="T54" s="60">
        <v>57325000</v>
      </c>
      <c r="U54" s="76" t="s">
        <v>351</v>
      </c>
      <c r="V54" s="77" t="s">
        <v>352</v>
      </c>
    </row>
    <row r="55" spans="1:23" ht="68" customHeight="1">
      <c r="A55" t="s">
        <v>268</v>
      </c>
      <c r="B55" s="8">
        <v>46</v>
      </c>
      <c r="C55">
        <f>B55/$C$54</f>
        <v>4.5999999999999999E-3</v>
      </c>
      <c r="D55" s="2">
        <f>C55*D$54</f>
        <v>160270.9</v>
      </c>
      <c r="E55">
        <f>$D$15</f>
        <v>151</v>
      </c>
      <c r="F55" s="2">
        <f>E55*D55</f>
        <v>24200905.899999999</v>
      </c>
      <c r="J55" t="s">
        <v>268</v>
      </c>
      <c r="K55" s="8">
        <v>46</v>
      </c>
      <c r="L55">
        <f>K55/$C$54</f>
        <v>4.5999999999999999E-3</v>
      </c>
      <c r="M55" s="2">
        <f>L55*M$54</f>
        <v>222790.76499999998</v>
      </c>
      <c r="N55">
        <f>$D$15</f>
        <v>151</v>
      </c>
      <c r="O55" s="2">
        <f>N55*M55</f>
        <v>33641405.515000001</v>
      </c>
      <c r="Q55" t="s">
        <v>268</v>
      </c>
      <c r="R55" s="8">
        <v>46</v>
      </c>
      <c r="S55">
        <f>R55/$C$54</f>
        <v>4.5999999999999999E-3</v>
      </c>
      <c r="T55" s="2">
        <f>S55*T$54</f>
        <v>263695</v>
      </c>
      <c r="U55">
        <v>151</v>
      </c>
      <c r="V55" s="2">
        <f>U55*T55</f>
        <v>39817945</v>
      </c>
    </row>
    <row r="56" spans="1:23">
      <c r="A56" t="s">
        <v>276</v>
      </c>
      <c r="B56" s="8">
        <v>55</v>
      </c>
      <c r="C56">
        <f t="shared" ref="C56:C61" si="6">B56/$C$54</f>
        <v>5.4999999999999997E-3</v>
      </c>
      <c r="D56" s="2">
        <f t="shared" ref="D56:D61" si="7">C56*D$54</f>
        <v>191628.25</v>
      </c>
      <c r="E56">
        <f>$D$17</f>
        <v>12</v>
      </c>
      <c r="F56" s="2">
        <f t="shared" ref="F56:F61" si="8">E56*D56</f>
        <v>2299539</v>
      </c>
      <c r="J56" t="s">
        <v>276</v>
      </c>
      <c r="K56" s="8">
        <v>55</v>
      </c>
      <c r="L56">
        <f t="shared" ref="L56:L61" si="9">K56/$C$54</f>
        <v>5.4999999999999997E-3</v>
      </c>
      <c r="M56" s="2">
        <f t="shared" ref="M56:M61" si="10">L56*M$54</f>
        <v>266380.26250000001</v>
      </c>
      <c r="N56">
        <f>$D$17</f>
        <v>12</v>
      </c>
      <c r="O56" s="2">
        <f t="shared" ref="O56:O61" si="11">N56*M56</f>
        <v>3196563.1500000004</v>
      </c>
      <c r="Q56" t="s">
        <v>276</v>
      </c>
      <c r="R56" s="8">
        <v>55</v>
      </c>
      <c r="S56">
        <f t="shared" ref="S56:S61" si="12">R56/$C$54</f>
        <v>5.4999999999999997E-3</v>
      </c>
      <c r="T56" s="2">
        <f t="shared" ref="T56:T61" si="13">S56*T$54</f>
        <v>315287.5</v>
      </c>
      <c r="U56">
        <v>12</v>
      </c>
      <c r="V56" s="2">
        <f t="shared" ref="V56:V61" si="14">U56*T56</f>
        <v>3783450</v>
      </c>
    </row>
    <row r="57" spans="1:23">
      <c r="A57" t="s">
        <v>277</v>
      </c>
      <c r="B57" s="8">
        <v>62</v>
      </c>
      <c r="C57">
        <f t="shared" si="6"/>
        <v>6.1999999999999998E-3</v>
      </c>
      <c r="D57" s="2">
        <f t="shared" si="7"/>
        <v>216017.3</v>
      </c>
      <c r="E57">
        <f>$D$18</f>
        <v>25</v>
      </c>
      <c r="F57" s="2">
        <f t="shared" si="8"/>
        <v>5400432.5</v>
      </c>
      <c r="J57" t="s">
        <v>277</v>
      </c>
      <c r="K57" s="8">
        <v>62</v>
      </c>
      <c r="L57">
        <f t="shared" si="9"/>
        <v>6.1999999999999998E-3</v>
      </c>
      <c r="M57" s="2">
        <f t="shared" si="10"/>
        <v>300283.20500000002</v>
      </c>
      <c r="N57">
        <f>$D$18</f>
        <v>25</v>
      </c>
      <c r="O57" s="2">
        <f t="shared" si="11"/>
        <v>7507080.125</v>
      </c>
      <c r="Q57" t="s">
        <v>277</v>
      </c>
      <c r="R57" s="8">
        <v>62</v>
      </c>
      <c r="S57">
        <f t="shared" si="12"/>
        <v>6.1999999999999998E-3</v>
      </c>
      <c r="T57" s="2">
        <f t="shared" si="13"/>
        <v>355415</v>
      </c>
      <c r="U57">
        <v>25</v>
      </c>
      <c r="V57" s="2">
        <f t="shared" si="14"/>
        <v>8885375</v>
      </c>
    </row>
    <row r="58" spans="1:23">
      <c r="A58" t="s">
        <v>281</v>
      </c>
      <c r="B58" s="8">
        <v>29</v>
      </c>
      <c r="C58">
        <f t="shared" si="6"/>
        <v>2.8999999999999998E-3</v>
      </c>
      <c r="D58" s="2">
        <f t="shared" si="7"/>
        <v>101040.34999999999</v>
      </c>
      <c r="E58">
        <f>$D$19</f>
        <v>25</v>
      </c>
      <c r="F58" s="2">
        <f t="shared" si="8"/>
        <v>2526008.75</v>
      </c>
      <c r="J58" t="s">
        <v>281</v>
      </c>
      <c r="K58" s="8">
        <v>29</v>
      </c>
      <c r="L58">
        <f t="shared" si="9"/>
        <v>2.8999999999999998E-3</v>
      </c>
      <c r="M58" s="2">
        <f t="shared" si="10"/>
        <v>140455.04749999999</v>
      </c>
      <c r="N58">
        <f>$D$19</f>
        <v>25</v>
      </c>
      <c r="O58" s="2">
        <f t="shared" si="11"/>
        <v>3511376.1874999995</v>
      </c>
      <c r="Q58" t="s">
        <v>281</v>
      </c>
      <c r="R58" s="8">
        <v>29</v>
      </c>
      <c r="S58">
        <f t="shared" si="12"/>
        <v>2.8999999999999998E-3</v>
      </c>
      <c r="T58" s="2">
        <f t="shared" si="13"/>
        <v>166242.5</v>
      </c>
      <c r="U58">
        <v>25</v>
      </c>
      <c r="V58" s="2">
        <f t="shared" si="14"/>
        <v>4156062.5</v>
      </c>
    </row>
    <row r="59" spans="1:23">
      <c r="A59" t="s">
        <v>293</v>
      </c>
      <c r="B59" s="8">
        <v>15</v>
      </c>
      <c r="C59">
        <f t="shared" si="6"/>
        <v>1.5E-3</v>
      </c>
      <c r="D59" s="2">
        <f t="shared" si="7"/>
        <v>52262.25</v>
      </c>
      <c r="E59">
        <f>$D$20</f>
        <v>3</v>
      </c>
      <c r="F59" s="2">
        <f t="shared" si="8"/>
        <v>156786.75</v>
      </c>
      <c r="J59" t="s">
        <v>293</v>
      </c>
      <c r="K59" s="8">
        <v>15</v>
      </c>
      <c r="L59">
        <f t="shared" si="9"/>
        <v>1.5E-3</v>
      </c>
      <c r="M59" s="2">
        <f t="shared" si="10"/>
        <v>72649.162500000006</v>
      </c>
      <c r="N59">
        <f>$D$20</f>
        <v>3</v>
      </c>
      <c r="O59" s="2">
        <f t="shared" si="11"/>
        <v>217947.48750000002</v>
      </c>
      <c r="Q59" t="s">
        <v>293</v>
      </c>
      <c r="R59" s="8">
        <v>15</v>
      </c>
      <c r="S59">
        <f t="shared" si="12"/>
        <v>1.5E-3</v>
      </c>
      <c r="T59" s="2">
        <f t="shared" si="13"/>
        <v>85987.5</v>
      </c>
      <c r="U59">
        <v>3</v>
      </c>
      <c r="V59" s="2">
        <f t="shared" si="14"/>
        <v>257962.5</v>
      </c>
    </row>
    <row r="60" spans="1:23">
      <c r="A60" t="s">
        <v>294</v>
      </c>
      <c r="B60" s="8">
        <v>18</v>
      </c>
      <c r="C60">
        <f t="shared" si="6"/>
        <v>1.8E-3</v>
      </c>
      <c r="D60" s="2">
        <f t="shared" si="7"/>
        <v>62714.7</v>
      </c>
      <c r="E60">
        <f>$D$21</f>
        <v>2</v>
      </c>
      <c r="F60" s="2">
        <f t="shared" si="8"/>
        <v>125429.4</v>
      </c>
      <c r="J60" t="s">
        <v>294</v>
      </c>
      <c r="K60" s="8">
        <v>18</v>
      </c>
      <c r="L60">
        <f t="shared" si="9"/>
        <v>1.8E-3</v>
      </c>
      <c r="M60" s="2">
        <f t="shared" si="10"/>
        <v>87178.994999999995</v>
      </c>
      <c r="N60">
        <f>$D$21</f>
        <v>2</v>
      </c>
      <c r="O60" s="2">
        <f t="shared" si="11"/>
        <v>174357.99</v>
      </c>
      <c r="Q60" t="s">
        <v>294</v>
      </c>
      <c r="R60" s="8">
        <v>18</v>
      </c>
      <c r="S60">
        <f t="shared" si="12"/>
        <v>1.8E-3</v>
      </c>
      <c r="T60" s="2">
        <f t="shared" si="13"/>
        <v>103185</v>
      </c>
      <c r="U60">
        <v>2</v>
      </c>
      <c r="V60" s="2">
        <f t="shared" si="14"/>
        <v>206370</v>
      </c>
    </row>
    <row r="61" spans="1:23">
      <c r="A61" t="s">
        <v>287</v>
      </c>
      <c r="B61" s="8">
        <v>38</v>
      </c>
      <c r="C61">
        <f t="shared" si="6"/>
        <v>3.8E-3</v>
      </c>
      <c r="D61" s="2">
        <f t="shared" si="7"/>
        <v>132397.70000000001</v>
      </c>
      <c r="E61">
        <f>$D$22</f>
        <v>1</v>
      </c>
      <c r="F61" s="2">
        <f t="shared" si="8"/>
        <v>132397.70000000001</v>
      </c>
      <c r="J61" t="s">
        <v>287</v>
      </c>
      <c r="K61" s="8">
        <v>38</v>
      </c>
      <c r="L61">
        <f t="shared" si="9"/>
        <v>3.8E-3</v>
      </c>
      <c r="M61" s="2">
        <f t="shared" si="10"/>
        <v>184044.54500000001</v>
      </c>
      <c r="N61">
        <f>$D$22</f>
        <v>1</v>
      </c>
      <c r="O61" s="2">
        <f t="shared" si="11"/>
        <v>184044.54500000001</v>
      </c>
      <c r="Q61" t="s">
        <v>287</v>
      </c>
      <c r="R61" s="8">
        <v>38</v>
      </c>
      <c r="S61">
        <f t="shared" si="12"/>
        <v>3.8E-3</v>
      </c>
      <c r="T61" s="2">
        <f t="shared" si="13"/>
        <v>217835</v>
      </c>
      <c r="U61">
        <v>1</v>
      </c>
      <c r="V61" s="2">
        <f t="shared" si="14"/>
        <v>217835</v>
      </c>
    </row>
    <row r="62" spans="1:23" ht="34">
      <c r="A62" s="39"/>
      <c r="B62" s="63" t="s">
        <v>252</v>
      </c>
      <c r="C62" s="44"/>
      <c r="D62" s="45"/>
      <c r="E62" s="44">
        <f>SUM(E55:E61)</f>
        <v>219</v>
      </c>
      <c r="F62" s="60">
        <f>SUM(F55:F61)</f>
        <v>34841500</v>
      </c>
      <c r="J62" s="39"/>
      <c r="K62" s="63" t="s">
        <v>252</v>
      </c>
      <c r="L62" s="44"/>
      <c r="M62" s="45"/>
      <c r="N62" s="44">
        <f>SUM(N55:N61)</f>
        <v>219</v>
      </c>
      <c r="O62" s="60">
        <f>SUM(O55:O61)</f>
        <v>48432775</v>
      </c>
      <c r="Q62" s="39"/>
      <c r="R62" s="63" t="s">
        <v>252</v>
      </c>
      <c r="S62" s="44"/>
      <c r="T62" s="45"/>
      <c r="U62" s="44">
        <f>SUM(U55:U61)</f>
        <v>219</v>
      </c>
      <c r="V62" s="60">
        <f>SUM(V55:V61)</f>
        <v>57325000</v>
      </c>
    </row>
    <row r="63" spans="1:23">
      <c r="A63" s="38"/>
      <c r="B63" s="64"/>
      <c r="C63" s="38"/>
      <c r="D63" s="65"/>
      <c r="E63" s="38"/>
      <c r="F63" s="65"/>
      <c r="J63" s="38"/>
      <c r="K63" s="64"/>
      <c r="L63" s="38"/>
      <c r="M63" s="65"/>
      <c r="N63" s="38"/>
      <c r="O63" s="65"/>
      <c r="T63" s="2"/>
    </row>
    <row r="64" spans="1:23" ht="21">
      <c r="A64" s="149" t="s">
        <v>333</v>
      </c>
      <c r="B64" s="149"/>
      <c r="C64" s="149"/>
      <c r="D64" s="149"/>
      <c r="E64" s="149"/>
      <c r="F64" s="149"/>
      <c r="J64" s="145" t="s">
        <v>345</v>
      </c>
      <c r="K64" s="145"/>
      <c r="L64" s="145"/>
      <c r="M64" s="145"/>
      <c r="N64" s="145"/>
      <c r="O64" s="145"/>
      <c r="P64" s="145"/>
    </row>
    <row r="84" spans="1:5">
      <c r="A84" s="144" t="s">
        <v>334</v>
      </c>
      <c r="B84" s="144"/>
      <c r="C84" s="144"/>
      <c r="D84" s="144"/>
      <c r="E84" s="144"/>
    </row>
    <row r="85" spans="1:5" ht="34">
      <c r="A85" s="5" t="s">
        <v>336</v>
      </c>
      <c r="B85" s="69" t="s">
        <v>337</v>
      </c>
      <c r="C85" s="68" t="s">
        <v>335</v>
      </c>
      <c r="D85" s="5" t="s">
        <v>338</v>
      </c>
      <c r="E85" s="5" t="s">
        <v>341</v>
      </c>
    </row>
    <row r="86" spans="1:5">
      <c r="A86">
        <v>209</v>
      </c>
      <c r="B86" s="66">
        <v>1</v>
      </c>
      <c r="C86">
        <f>A86/2+1</f>
        <v>105.5</v>
      </c>
      <c r="D86">
        <v>79</v>
      </c>
      <c r="E86" s="72">
        <f t="shared" ref="E86:E92" si="15">A86/3*2</f>
        <v>139.33333333333334</v>
      </c>
    </row>
    <row r="87" spans="1:5">
      <c r="A87">
        <v>163</v>
      </c>
      <c r="B87" s="67">
        <f t="shared" ref="B87:B92" si="16">A87/$A$86</f>
        <v>0.77990430622009566</v>
      </c>
      <c r="C87">
        <f t="shared" ref="C87" si="17">A87/2+1</f>
        <v>82.5</v>
      </c>
      <c r="D87">
        <v>79</v>
      </c>
      <c r="E87" s="72">
        <f t="shared" si="15"/>
        <v>108.66666666666667</v>
      </c>
    </row>
    <row r="88" spans="1:5">
      <c r="A88" s="1">
        <v>154</v>
      </c>
      <c r="B88" s="74">
        <f t="shared" si="16"/>
        <v>0.73684210526315785</v>
      </c>
      <c r="C88" s="1">
        <f>A88/2+1</f>
        <v>78</v>
      </c>
      <c r="D88" s="1">
        <v>79</v>
      </c>
      <c r="E88" s="72">
        <f t="shared" si="15"/>
        <v>102.66666666666667</v>
      </c>
    </row>
    <row r="89" spans="1:5">
      <c r="A89">
        <v>121</v>
      </c>
      <c r="B89" s="67">
        <f t="shared" si="16"/>
        <v>0.57894736842105265</v>
      </c>
      <c r="C89">
        <f>A89/2+1</f>
        <v>61.5</v>
      </c>
      <c r="D89">
        <v>79</v>
      </c>
      <c r="E89" s="72">
        <f t="shared" si="15"/>
        <v>80.666666666666671</v>
      </c>
    </row>
    <row r="90" spans="1:5">
      <c r="A90">
        <v>105</v>
      </c>
      <c r="B90" s="67">
        <f t="shared" si="16"/>
        <v>0.50239234449760761</v>
      </c>
      <c r="C90">
        <f>A90/2+1</f>
        <v>53.5</v>
      </c>
      <c r="D90">
        <v>79</v>
      </c>
      <c r="E90" s="72">
        <f t="shared" si="15"/>
        <v>70</v>
      </c>
    </row>
    <row r="91" spans="1:5">
      <c r="A91" s="11">
        <v>104</v>
      </c>
      <c r="B91" s="71">
        <f t="shared" si="16"/>
        <v>0.49760765550239233</v>
      </c>
      <c r="C91">
        <f>A91/2+1</f>
        <v>53</v>
      </c>
      <c r="D91">
        <v>79</v>
      </c>
      <c r="E91" s="72">
        <f t="shared" si="15"/>
        <v>69.333333333333329</v>
      </c>
    </row>
    <row r="92" spans="1:5">
      <c r="A92">
        <v>151</v>
      </c>
      <c r="B92" s="67">
        <f t="shared" si="16"/>
        <v>0.72248803827751196</v>
      </c>
      <c r="C92">
        <f>A92/2+1</f>
        <v>76.5</v>
      </c>
      <c r="E92" s="72">
        <f t="shared" si="15"/>
        <v>100.66666666666667</v>
      </c>
    </row>
    <row r="93" spans="1:5">
      <c r="A93" s="70" t="s">
        <v>339</v>
      </c>
    </row>
    <row r="94" spans="1:5">
      <c r="A94" s="70" t="s">
        <v>340</v>
      </c>
    </row>
    <row r="97" spans="1:1">
      <c r="A97" s="36" t="s">
        <v>343</v>
      </c>
    </row>
  </sheetData>
  <mergeCells count="13">
    <mergeCell ref="A84:E84"/>
    <mergeCell ref="J53:O53"/>
    <mergeCell ref="J64:P64"/>
    <mergeCell ref="I13:L13"/>
    <mergeCell ref="M13:N13"/>
    <mergeCell ref="G13:H13"/>
    <mergeCell ref="A64:F64"/>
    <mergeCell ref="A30:H30"/>
    <mergeCell ref="Q52:W52"/>
    <mergeCell ref="R53:S53"/>
    <mergeCell ref="E26:L26"/>
    <mergeCell ref="A53:F53"/>
    <mergeCell ref="A23:C23"/>
  </mergeCells>
  <phoneticPr fontId="16" type="noConversion"/>
  <pageMargins left="0.7" right="0.7" top="0.75" bottom="0.75" header="0.3" footer="0.3"/>
  <pageSetup paperSize="9" orientation="portrait" horizontalDpi="0" verticalDpi="0"/>
  <drawing r:id="rId1"/>
  <tableParts count="2">
    <tablePart r:id="rId2"/>
    <tablePart r:id="rId3"/>
  </tableParts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1F70825-95B5-554F-8436-4A57D0268606}">
  <sheetPr codeName="Blad2"/>
  <dimension ref="A1:AB119"/>
  <sheetViews>
    <sheetView tabSelected="1" zoomScaleNormal="100" workbookViewId="0">
      <pane xSplit="2" ySplit="1" topLeftCell="C2" activePane="bottomRight" state="frozen"/>
      <selection pane="topRight" activeCell="C1" sqref="C1"/>
      <selection pane="bottomLeft" activeCell="A2" sqref="A2"/>
      <selection pane="bottomRight" activeCell="E59" sqref="E59"/>
    </sheetView>
  </sheetViews>
  <sheetFormatPr baseColWidth="10" defaultColWidth="10.83203125" defaultRowHeight="16"/>
  <cols>
    <col min="1" max="1" width="7.5" bestFit="1" customWidth="1"/>
    <col min="2" max="2" width="62.1640625" customWidth="1"/>
    <col min="3" max="3" width="20.6640625" customWidth="1"/>
    <col min="4" max="4" width="16.6640625" customWidth="1"/>
    <col min="5" max="5" width="12" customWidth="1"/>
    <col min="6" max="6" width="16.6640625" customWidth="1"/>
    <col min="7" max="7" width="10.83203125" customWidth="1"/>
    <col min="8" max="8" width="12" customWidth="1"/>
    <col min="9" max="9" width="10.83203125" customWidth="1"/>
    <col min="10" max="10" width="13" customWidth="1"/>
    <col min="11" max="11" width="10.83203125" customWidth="1"/>
    <col min="12" max="12" width="12" customWidth="1"/>
    <col min="13" max="17" width="10.83203125" customWidth="1"/>
    <col min="18" max="18" width="16.33203125" hidden="1" customWidth="1"/>
    <col min="19" max="19" width="14.5" hidden="1" customWidth="1"/>
    <col min="20" max="20" width="16" hidden="1" customWidth="1"/>
    <col min="21" max="22" width="17.33203125" hidden="1" customWidth="1"/>
    <col min="23" max="23" width="26.1640625" hidden="1" customWidth="1"/>
    <col min="24" max="24" width="12.5" hidden="1" customWidth="1"/>
    <col min="25" max="25" width="13.6640625" hidden="1" customWidth="1"/>
    <col min="26" max="26" width="20" hidden="1" customWidth="1"/>
    <col min="27" max="27" width="18.5" hidden="1" customWidth="1"/>
    <col min="28" max="28" width="13" bestFit="1" customWidth="1"/>
  </cols>
  <sheetData>
    <row r="1" spans="1:24" s="32" customFormat="1" ht="51">
      <c r="B1" s="35" t="s">
        <v>449</v>
      </c>
      <c r="C1" s="35" t="s">
        <v>443</v>
      </c>
      <c r="D1" s="34" t="s">
        <v>322</v>
      </c>
      <c r="E1" s="33" t="s">
        <v>282</v>
      </c>
      <c r="F1" s="34" t="s">
        <v>323</v>
      </c>
      <c r="G1" s="33" t="s">
        <v>283</v>
      </c>
      <c r="H1" s="34" t="s">
        <v>321</v>
      </c>
      <c r="I1" s="33" t="s">
        <v>284</v>
      </c>
      <c r="J1" s="34" t="s">
        <v>320</v>
      </c>
      <c r="K1" s="33" t="s">
        <v>285</v>
      </c>
      <c r="L1" s="34" t="s">
        <v>324</v>
      </c>
      <c r="M1" s="33" t="s">
        <v>286</v>
      </c>
      <c r="N1" s="34" t="s">
        <v>325</v>
      </c>
      <c r="O1" s="48" t="s">
        <v>288</v>
      </c>
      <c r="P1" s="34" t="s">
        <v>295</v>
      </c>
      <c r="Q1" s="33" t="s">
        <v>296</v>
      </c>
      <c r="R1" s="106" t="s">
        <v>432</v>
      </c>
      <c r="S1" s="106" t="s">
        <v>429</v>
      </c>
      <c r="T1" s="107" t="s">
        <v>430</v>
      </c>
      <c r="U1" s="105" t="s">
        <v>433</v>
      </c>
      <c r="V1" s="105" t="s">
        <v>429</v>
      </c>
      <c r="X1" s="32" t="s">
        <v>439</v>
      </c>
    </row>
    <row r="2" spans="1:24" s="4" customFormat="1">
      <c r="A2" s="4" t="s">
        <v>268</v>
      </c>
      <c r="B2" s="5" t="s">
        <v>6</v>
      </c>
      <c r="D2" s="20"/>
      <c r="E2" s="21"/>
      <c r="F2" s="20"/>
      <c r="G2" s="21"/>
      <c r="H2" s="20"/>
      <c r="I2" s="21"/>
      <c r="J2" s="20"/>
      <c r="K2" s="21"/>
      <c r="L2" s="20"/>
      <c r="M2" s="21"/>
      <c r="N2" s="20"/>
      <c r="P2" s="20"/>
      <c r="Q2" s="21"/>
      <c r="T2" s="5"/>
      <c r="U2" s="5"/>
      <c r="V2" s="5"/>
    </row>
    <row r="3" spans="1:24">
      <c r="B3" s="36" t="s">
        <v>14</v>
      </c>
      <c r="D3" s="22"/>
      <c r="E3" s="23"/>
      <c r="F3" s="22"/>
      <c r="G3" s="23"/>
      <c r="H3" s="22"/>
      <c r="I3" s="23"/>
      <c r="J3" s="22"/>
      <c r="K3" s="23"/>
      <c r="L3" s="22"/>
      <c r="M3" s="23"/>
      <c r="N3" s="22"/>
      <c r="P3" s="22"/>
      <c r="Q3" s="23"/>
    </row>
    <row r="4" spans="1:24">
      <c r="B4" t="s">
        <v>0</v>
      </c>
      <c r="C4" s="2">
        <v>25570</v>
      </c>
      <c r="D4" s="24">
        <f>C4*Start!$C$16</f>
        <v>191.77500000000001</v>
      </c>
      <c r="E4" s="23"/>
      <c r="F4" s="24">
        <f>C4*Start!$C$15</f>
        <v>117.622</v>
      </c>
      <c r="G4" s="27">
        <f>F4/12</f>
        <v>9.8018333333333327</v>
      </c>
      <c r="H4" s="24">
        <f>C4*Start!$C$17</f>
        <v>140.63499999999999</v>
      </c>
      <c r="I4" s="23"/>
      <c r="J4" s="24">
        <f>C4*Start!$C$18</f>
        <v>158.53399999999999</v>
      </c>
      <c r="K4" s="27"/>
      <c r="L4" s="24">
        <f>C4*Start!$C$19</f>
        <v>74.152999999999992</v>
      </c>
      <c r="M4" s="27"/>
      <c r="N4" s="24">
        <f>C4*Start!$C$22</f>
        <v>97.165999999999997</v>
      </c>
      <c r="O4" s="2"/>
      <c r="P4" s="24">
        <f>C4*Start!$C$20</f>
        <v>38.355000000000004</v>
      </c>
      <c r="Q4" s="27">
        <f>C4*Start!$C$21</f>
        <v>46.025999999999996</v>
      </c>
      <c r="R4" s="2">
        <f>C4</f>
        <v>25570</v>
      </c>
      <c r="T4" s="67">
        <f>R4/$R$47</f>
        <v>6.9342748977621577E-2</v>
      </c>
    </row>
    <row r="5" spans="1:24">
      <c r="B5" t="s">
        <v>1</v>
      </c>
      <c r="C5" s="2">
        <v>1997</v>
      </c>
      <c r="D5" s="24">
        <f>C5*Start!$C$16</f>
        <v>14.977499999999999</v>
      </c>
      <c r="E5" s="23"/>
      <c r="F5" s="24">
        <f>C5*Start!$C$15</f>
        <v>9.1861999999999995</v>
      </c>
      <c r="G5" s="27">
        <f t="shared" ref="G5:G28" si="0">F5/12</f>
        <v>0.76551666666666662</v>
      </c>
      <c r="H5" s="24">
        <f>C5*Start!$C$17</f>
        <v>10.983499999999999</v>
      </c>
      <c r="I5" s="23"/>
      <c r="J5" s="24">
        <f>C5*Start!$C$18</f>
        <v>12.381399999999999</v>
      </c>
      <c r="K5" s="23"/>
      <c r="L5" s="24">
        <f>C5*Start!$C$19</f>
        <v>5.7912999999999997</v>
      </c>
      <c r="M5" s="23"/>
      <c r="N5" s="24">
        <f>C5*Start!$C$22</f>
        <v>7.5885999999999996</v>
      </c>
      <c r="P5" s="24">
        <f>C5*Start!$C$20</f>
        <v>2.9955000000000003</v>
      </c>
      <c r="Q5" s="27">
        <f>C5*Start!$C$21</f>
        <v>3.5945999999999998</v>
      </c>
      <c r="R5" s="2">
        <f t="shared" ref="R5:R46" si="1">C5</f>
        <v>1997</v>
      </c>
      <c r="T5" s="67">
        <f t="shared" ref="T5:T47" si="2">R5/$R$47</f>
        <v>5.4156225932072855E-3</v>
      </c>
    </row>
    <row r="6" spans="1:24">
      <c r="B6" t="s">
        <v>302</v>
      </c>
      <c r="C6" s="2">
        <v>3025</v>
      </c>
      <c r="D6" s="24">
        <f>C6*Start!$C$16</f>
        <v>22.6875</v>
      </c>
      <c r="E6" s="23"/>
      <c r="F6" s="24">
        <f>C6*Start!$C$15</f>
        <v>13.914999999999999</v>
      </c>
      <c r="G6" s="27">
        <f t="shared" si="0"/>
        <v>1.1595833333333332</v>
      </c>
      <c r="H6" s="24">
        <f>C6*Start!$C$17</f>
        <v>16.637499999999999</v>
      </c>
      <c r="I6" s="23"/>
      <c r="J6" s="24">
        <f>C6*Start!$C$18</f>
        <v>18.754999999999999</v>
      </c>
      <c r="K6" s="23"/>
      <c r="L6" s="24">
        <f>C6*Start!$C$19</f>
        <v>8.7724999999999991</v>
      </c>
      <c r="M6" s="23"/>
      <c r="N6" s="24">
        <f>C6*Start!$C$22</f>
        <v>11.494999999999999</v>
      </c>
      <c r="P6" s="24">
        <f>C6*Start!$C$20</f>
        <v>4.5375000000000005</v>
      </c>
      <c r="Q6" s="27">
        <f>C6*Start!$C$21</f>
        <v>5.4450000000000003</v>
      </c>
      <c r="R6" s="2">
        <f t="shared" si="1"/>
        <v>3025</v>
      </c>
      <c r="T6" s="67">
        <f t="shared" si="2"/>
        <v>8.2034343237115861E-3</v>
      </c>
    </row>
    <row r="7" spans="1:24">
      <c r="B7" t="s">
        <v>424</v>
      </c>
      <c r="C7" s="2">
        <v>40</v>
      </c>
      <c r="D7" s="24">
        <f>C7*Start!$C$16</f>
        <v>0.3</v>
      </c>
      <c r="E7" s="23"/>
      <c r="F7" s="24">
        <f>C7*Start!$C$15</f>
        <v>0.184</v>
      </c>
      <c r="G7" s="27">
        <f t="shared" ref="G7" si="3">F7/12</f>
        <v>1.5333333333333332E-2</v>
      </c>
      <c r="H7" s="24">
        <f>C7*Start!$C$17</f>
        <v>0.21999999999999997</v>
      </c>
      <c r="I7" s="23"/>
      <c r="J7" s="24">
        <f>C7*Start!$C$18</f>
        <v>0.248</v>
      </c>
      <c r="K7" s="23"/>
      <c r="L7" s="24">
        <f>C7*Start!$C$19</f>
        <v>0.11599999999999999</v>
      </c>
      <c r="M7" s="23"/>
      <c r="N7" s="24">
        <f>C7*Start!$C$22</f>
        <v>0.152</v>
      </c>
      <c r="P7" s="24">
        <f>C7*Start!$C$20</f>
        <v>0.06</v>
      </c>
      <c r="Q7" s="27">
        <f>C7*Start!$C$21</f>
        <v>7.1999999999999995E-2</v>
      </c>
      <c r="R7" s="2">
        <f t="shared" si="1"/>
        <v>40</v>
      </c>
      <c r="T7" s="67">
        <f t="shared" si="2"/>
        <v>1.084751646110623E-4</v>
      </c>
    </row>
    <row r="8" spans="1:24">
      <c r="B8" t="s">
        <v>303</v>
      </c>
      <c r="C8" s="2">
        <v>427</v>
      </c>
      <c r="D8" s="24">
        <f>C8*Start!$C$16</f>
        <v>3.2024999999999997</v>
      </c>
      <c r="E8" s="23"/>
      <c r="F8" s="24">
        <f>C8*Start!$C$15</f>
        <v>1.9641999999999999</v>
      </c>
      <c r="G8" s="27">
        <f t="shared" si="0"/>
        <v>0.16368333333333332</v>
      </c>
      <c r="H8" s="24">
        <f>C8*Start!$C$17</f>
        <v>2.3485</v>
      </c>
      <c r="I8" s="23"/>
      <c r="J8" s="24">
        <f>C8*Start!$C$18</f>
        <v>2.6473999999999998</v>
      </c>
      <c r="K8" s="23"/>
      <c r="L8" s="24">
        <f>C8*Start!$C$19</f>
        <v>1.2383</v>
      </c>
      <c r="M8" s="23"/>
      <c r="N8" s="24">
        <f>C8*Start!$C$22</f>
        <v>1.6226</v>
      </c>
      <c r="P8" s="24">
        <f>C8*Start!$C$20</f>
        <v>0.64049999999999996</v>
      </c>
      <c r="Q8" s="27">
        <f>C8*Start!$C$21</f>
        <v>0.76859999999999995</v>
      </c>
      <c r="R8" s="2">
        <f t="shared" si="1"/>
        <v>427</v>
      </c>
      <c r="T8" s="67">
        <f t="shared" si="2"/>
        <v>1.1579723822230899E-3</v>
      </c>
    </row>
    <row r="9" spans="1:24">
      <c r="B9" t="s">
        <v>304</v>
      </c>
      <c r="C9" s="2">
        <v>2664</v>
      </c>
      <c r="D9" s="24">
        <f>C9*Start!$C$16</f>
        <v>19.98</v>
      </c>
      <c r="E9" s="23"/>
      <c r="F9" s="24">
        <f>C9*Start!$C$15</f>
        <v>12.2544</v>
      </c>
      <c r="G9" s="27">
        <f t="shared" si="0"/>
        <v>1.0212000000000001</v>
      </c>
      <c r="H9" s="24">
        <f>C9*Start!$C$17</f>
        <v>14.651999999999999</v>
      </c>
      <c r="I9" s="23"/>
      <c r="J9" s="24">
        <f>C9*Start!$C$18</f>
        <v>16.5168</v>
      </c>
      <c r="K9" s="23"/>
      <c r="L9" s="24">
        <f>C9*Start!$C$19</f>
        <v>7.7255999999999991</v>
      </c>
      <c r="M9" s="23"/>
      <c r="N9" s="24">
        <f>C9*Start!$C$22</f>
        <v>10.123200000000001</v>
      </c>
      <c r="P9" s="24">
        <f>C9*Start!$C$20</f>
        <v>3.996</v>
      </c>
      <c r="Q9" s="27">
        <f>C9*Start!$C$21</f>
        <v>4.7951999999999995</v>
      </c>
      <c r="R9" s="2">
        <f t="shared" si="1"/>
        <v>2664</v>
      </c>
      <c r="T9" s="67">
        <f t="shared" si="2"/>
        <v>7.2244459630967494E-3</v>
      </c>
    </row>
    <row r="10" spans="1:24">
      <c r="B10" t="s">
        <v>261</v>
      </c>
      <c r="C10" s="2">
        <v>8000</v>
      </c>
      <c r="D10" s="24">
        <f>C10*Start!$C$16</f>
        <v>60</v>
      </c>
      <c r="E10" s="23"/>
      <c r="F10" s="24">
        <f>C10*Start!$C$15</f>
        <v>36.799999999999997</v>
      </c>
      <c r="G10" s="27">
        <f t="shared" si="0"/>
        <v>3.0666666666666664</v>
      </c>
      <c r="H10" s="24">
        <f>C10*Start!$C$17</f>
        <v>44</v>
      </c>
      <c r="I10" s="23"/>
      <c r="J10" s="24">
        <f>C10*Start!$C$18</f>
        <v>49.6</v>
      </c>
      <c r="K10" s="23"/>
      <c r="L10" s="24">
        <f>C10*Start!$C$19</f>
        <v>23.2</v>
      </c>
      <c r="M10" s="23"/>
      <c r="N10" s="24">
        <f>C10*Start!$C$22</f>
        <v>30.4</v>
      </c>
      <c r="P10" s="24">
        <f>C10*Start!$C$20</f>
        <v>12</v>
      </c>
      <c r="Q10" s="27">
        <f>C10*Start!$C$21</f>
        <v>14.4</v>
      </c>
      <c r="R10" s="2">
        <f t="shared" si="1"/>
        <v>8000</v>
      </c>
      <c r="T10" s="67">
        <f t="shared" si="2"/>
        <v>2.1695032922212459E-2</v>
      </c>
    </row>
    <row r="11" spans="1:24">
      <c r="B11" t="s">
        <v>366</v>
      </c>
      <c r="C11" s="2">
        <v>8697</v>
      </c>
      <c r="D11" s="24">
        <f>C11*Start!$C$16</f>
        <v>65.227499999999992</v>
      </c>
      <c r="E11" s="23"/>
      <c r="F11" s="24">
        <f>C11*Start!$C$15</f>
        <v>40.0062</v>
      </c>
      <c r="G11" s="27">
        <f t="shared" si="0"/>
        <v>3.33385</v>
      </c>
      <c r="H11" s="24">
        <f>C11*Start!$C$17</f>
        <v>47.833499999999994</v>
      </c>
      <c r="I11" s="23"/>
      <c r="J11" s="24">
        <f>C11*Start!$C$18</f>
        <v>53.921399999999998</v>
      </c>
      <c r="K11" s="23"/>
      <c r="L11" s="24">
        <f>C11*Start!$C$19</f>
        <v>25.221299999999999</v>
      </c>
      <c r="M11" s="23"/>
      <c r="N11" s="24">
        <f>C11*Start!$C$22</f>
        <v>33.0486</v>
      </c>
      <c r="P11" s="24">
        <f>C11*Start!$C$20</f>
        <v>13.045500000000001</v>
      </c>
      <c r="Q11" s="27">
        <f>C11*Start!$C$21</f>
        <v>15.6546</v>
      </c>
      <c r="R11" s="2">
        <f t="shared" si="1"/>
        <v>8697</v>
      </c>
      <c r="T11" s="67">
        <f t="shared" si="2"/>
        <v>2.3585212665560219E-2</v>
      </c>
    </row>
    <row r="12" spans="1:24">
      <c r="B12" t="s">
        <v>367</v>
      </c>
      <c r="C12" s="2">
        <v>2000</v>
      </c>
      <c r="D12" s="24">
        <f>C12*Start!$C$16</f>
        <v>15</v>
      </c>
      <c r="E12" s="23"/>
      <c r="F12" s="24">
        <f>C12*Start!$C$15</f>
        <v>9.1999999999999993</v>
      </c>
      <c r="G12" s="27">
        <f t="shared" si="0"/>
        <v>0.76666666666666661</v>
      </c>
      <c r="H12" s="24">
        <f>C12*Start!$C$17</f>
        <v>11</v>
      </c>
      <c r="I12" s="23"/>
      <c r="J12" s="24">
        <f>C12*Start!$C$18</f>
        <v>12.4</v>
      </c>
      <c r="K12" s="23"/>
      <c r="L12" s="24">
        <f>C12*Start!$C$19</f>
        <v>5.8</v>
      </c>
      <c r="M12" s="23"/>
      <c r="N12" s="24">
        <f>C12*Start!$C$22</f>
        <v>7.6</v>
      </c>
      <c r="P12" s="24">
        <f>C12*Start!$C$20</f>
        <v>3</v>
      </c>
      <c r="Q12" s="27">
        <f>C12*Start!$C$21</f>
        <v>3.6</v>
      </c>
      <c r="R12" s="2">
        <f t="shared" si="1"/>
        <v>2000</v>
      </c>
      <c r="T12" s="67">
        <f t="shared" si="2"/>
        <v>5.4237582305531147E-3</v>
      </c>
    </row>
    <row r="13" spans="1:24">
      <c r="B13" t="s">
        <v>305</v>
      </c>
      <c r="C13" s="2">
        <v>0</v>
      </c>
      <c r="D13" s="24">
        <f>C13*Start!$C$16</f>
        <v>0</v>
      </c>
      <c r="E13" s="23"/>
      <c r="F13" s="24">
        <f>C13*Start!$C$15</f>
        <v>0</v>
      </c>
      <c r="G13" s="27">
        <f t="shared" si="0"/>
        <v>0</v>
      </c>
      <c r="H13" s="24">
        <f>C13*Start!$C$17</f>
        <v>0</v>
      </c>
      <c r="I13" s="23"/>
      <c r="J13" s="24">
        <f>C13*Start!$C$18</f>
        <v>0</v>
      </c>
      <c r="K13" s="23"/>
      <c r="L13" s="24">
        <f>C13*Start!$C$19</f>
        <v>0</v>
      </c>
      <c r="M13" s="23"/>
      <c r="N13" s="24">
        <f>C13*Start!$C$22</f>
        <v>0</v>
      </c>
      <c r="P13" s="24">
        <f>C13*Start!$C$20</f>
        <v>0</v>
      </c>
      <c r="Q13" s="27">
        <f>C13*Start!$C$21</f>
        <v>0</v>
      </c>
      <c r="R13" s="2">
        <f t="shared" si="1"/>
        <v>0</v>
      </c>
      <c r="T13" s="67"/>
    </row>
    <row r="14" spans="1:24">
      <c r="B14" t="s">
        <v>266</v>
      </c>
      <c r="C14" s="2">
        <v>1500</v>
      </c>
      <c r="D14" s="24">
        <f>C14*Start!$C$16</f>
        <v>11.25</v>
      </c>
      <c r="E14" s="23"/>
      <c r="F14" s="24">
        <f>C14*Start!$C$15</f>
        <v>6.8999999999999995</v>
      </c>
      <c r="G14" s="27">
        <f t="shared" si="0"/>
        <v>0.57499999999999996</v>
      </c>
      <c r="H14" s="24">
        <f>C14*Start!$C$17</f>
        <v>8.25</v>
      </c>
      <c r="I14" s="23"/>
      <c r="J14" s="24">
        <f>C14*Start!$C$18</f>
        <v>9.2999999999999989</v>
      </c>
      <c r="K14" s="23"/>
      <c r="L14" s="24">
        <f>C14*Start!$C$19</f>
        <v>4.3499999999999996</v>
      </c>
      <c r="M14" s="23"/>
      <c r="N14" s="24">
        <f>C14*Start!$C$22</f>
        <v>5.7</v>
      </c>
      <c r="P14" s="24">
        <f>C14*Start!$C$20</f>
        <v>2.25</v>
      </c>
      <c r="Q14" s="27">
        <f>C14*Start!$C$21</f>
        <v>2.6999999999999997</v>
      </c>
      <c r="R14" s="2">
        <f t="shared" si="1"/>
        <v>1500</v>
      </c>
      <c r="T14" s="67">
        <f t="shared" si="2"/>
        <v>4.0678186729148358E-3</v>
      </c>
    </row>
    <row r="15" spans="1:24">
      <c r="B15" t="s">
        <v>306</v>
      </c>
      <c r="C15" s="2">
        <v>500</v>
      </c>
      <c r="D15" s="24">
        <f>C15*Start!$C$16</f>
        <v>3.75</v>
      </c>
      <c r="E15" s="23"/>
      <c r="F15" s="24">
        <f>C15*Start!$C$15</f>
        <v>2.2999999999999998</v>
      </c>
      <c r="G15" s="27">
        <f t="shared" si="0"/>
        <v>0.19166666666666665</v>
      </c>
      <c r="H15" s="24">
        <f>C15*Start!$C$17</f>
        <v>2.75</v>
      </c>
      <c r="I15" s="23"/>
      <c r="J15" s="24">
        <f>C15*Start!$C$18</f>
        <v>3.1</v>
      </c>
      <c r="K15" s="23"/>
      <c r="L15" s="24">
        <f>C15*Start!$C$19</f>
        <v>1.45</v>
      </c>
      <c r="M15" s="23"/>
      <c r="N15" s="24">
        <f>C15*Start!$C$22</f>
        <v>1.9</v>
      </c>
      <c r="P15" s="24">
        <f>C15*Start!$C$20</f>
        <v>0.75</v>
      </c>
      <c r="Q15" s="27">
        <f>C15*Start!$C$21</f>
        <v>0.9</v>
      </c>
      <c r="R15" s="2">
        <f t="shared" si="1"/>
        <v>500</v>
      </c>
      <c r="T15" s="67">
        <f t="shared" si="2"/>
        <v>1.3559395576382787E-3</v>
      </c>
    </row>
    <row r="16" spans="1:24">
      <c r="B16" t="s">
        <v>265</v>
      </c>
      <c r="C16" s="2">
        <v>627</v>
      </c>
      <c r="D16" s="24">
        <f>C16*Start!$C$16</f>
        <v>4.7024999999999997</v>
      </c>
      <c r="E16" s="23"/>
      <c r="F16" s="24">
        <f>C16*Start!$C$15</f>
        <v>2.8841999999999999</v>
      </c>
      <c r="G16" s="27">
        <f t="shared" si="0"/>
        <v>0.24034999999999998</v>
      </c>
      <c r="H16" s="24">
        <f>C16*Start!$C$17</f>
        <v>3.4484999999999997</v>
      </c>
      <c r="I16" s="23"/>
      <c r="J16" s="24">
        <f>C16*Start!$C$18</f>
        <v>3.8874</v>
      </c>
      <c r="K16" s="23"/>
      <c r="L16" s="24">
        <f>C16*Start!$C$19</f>
        <v>1.8182999999999998</v>
      </c>
      <c r="M16" s="23"/>
      <c r="N16" s="24">
        <f>C16*Start!$C$22</f>
        <v>2.3826000000000001</v>
      </c>
      <c r="P16" s="24">
        <f>C16*Start!$C$20</f>
        <v>0.9405</v>
      </c>
      <c r="Q16" s="27">
        <f>C16*Start!$C$21</f>
        <v>1.1286</v>
      </c>
      <c r="R16" s="2">
        <f t="shared" si="1"/>
        <v>627</v>
      </c>
      <c r="T16" s="67">
        <f t="shared" si="2"/>
        <v>1.7003482052784014E-3</v>
      </c>
    </row>
    <row r="17" spans="2:20">
      <c r="B17" t="s">
        <v>259</v>
      </c>
      <c r="C17" s="2">
        <v>4332</v>
      </c>
      <c r="D17" s="24">
        <f>C17*Start!$C$16</f>
        <v>32.49</v>
      </c>
      <c r="E17" s="23"/>
      <c r="F17" s="24">
        <f>C17*Start!$C$15</f>
        <v>19.927199999999999</v>
      </c>
      <c r="G17" s="27">
        <f t="shared" si="0"/>
        <v>1.6605999999999999</v>
      </c>
      <c r="H17" s="24">
        <f>C17*Start!$C$17</f>
        <v>23.825999999999997</v>
      </c>
      <c r="I17" s="23"/>
      <c r="J17" s="24">
        <f>C17*Start!$C$18</f>
        <v>26.8584</v>
      </c>
      <c r="K17" s="23"/>
      <c r="L17" s="24">
        <f>C17*Start!$C$19</f>
        <v>12.562799999999999</v>
      </c>
      <c r="M17" s="23"/>
      <c r="N17" s="24">
        <f>C17*Start!$C$22</f>
        <v>16.461600000000001</v>
      </c>
      <c r="P17" s="24">
        <f>C17*Start!$C$20</f>
        <v>6.4980000000000002</v>
      </c>
      <c r="Q17" s="27">
        <f>C17*Start!$C$21</f>
        <v>7.7976000000000001</v>
      </c>
      <c r="R17" s="2">
        <f t="shared" si="1"/>
        <v>4332</v>
      </c>
      <c r="T17" s="67">
        <f t="shared" si="2"/>
        <v>1.1747860327378047E-2</v>
      </c>
    </row>
    <row r="18" spans="2:20">
      <c r="B18" t="s">
        <v>258</v>
      </c>
      <c r="C18" s="2">
        <v>1400</v>
      </c>
      <c r="D18" s="24">
        <f>C18*Start!$C$16</f>
        <v>10.5</v>
      </c>
      <c r="E18" s="23"/>
      <c r="F18" s="24">
        <f>C18*Start!$C$15</f>
        <v>6.4399999999999995</v>
      </c>
      <c r="G18" s="27">
        <f t="shared" si="0"/>
        <v>0.53666666666666663</v>
      </c>
      <c r="H18" s="24">
        <f>C18*Start!$C$17</f>
        <v>7.6999999999999993</v>
      </c>
      <c r="I18" s="23"/>
      <c r="J18" s="24">
        <f>C18*Start!$C$18</f>
        <v>8.68</v>
      </c>
      <c r="K18" s="23"/>
      <c r="L18" s="24">
        <f>C18*Start!$C$19</f>
        <v>4.0599999999999996</v>
      </c>
      <c r="M18" s="23"/>
      <c r="N18" s="24">
        <f>C18*Start!$C$22</f>
        <v>5.32</v>
      </c>
      <c r="P18" s="24">
        <f>C18*Start!$C$20</f>
        <v>2.1</v>
      </c>
      <c r="Q18" s="27">
        <f>C18*Start!$C$21</f>
        <v>2.52</v>
      </c>
      <c r="R18" s="2">
        <f t="shared" si="1"/>
        <v>1400</v>
      </c>
      <c r="T18" s="67">
        <f t="shared" si="2"/>
        <v>3.7966307613871804E-3</v>
      </c>
    </row>
    <row r="19" spans="2:20">
      <c r="B19" t="s">
        <v>307</v>
      </c>
      <c r="C19" s="2">
        <v>1000</v>
      </c>
      <c r="D19" s="24">
        <f>C19*Start!$C$16</f>
        <v>7.5</v>
      </c>
      <c r="E19" s="23"/>
      <c r="F19" s="24">
        <f>C19*Start!$C$15</f>
        <v>4.5999999999999996</v>
      </c>
      <c r="G19" s="27">
        <f t="shared" si="0"/>
        <v>0.3833333333333333</v>
      </c>
      <c r="H19" s="24">
        <f>C19*Start!$C$17</f>
        <v>5.5</v>
      </c>
      <c r="I19" s="23"/>
      <c r="J19" s="24">
        <f>C19*Start!$C$18</f>
        <v>6.2</v>
      </c>
      <c r="K19" s="23"/>
      <c r="L19" s="24">
        <f>C19*Start!$C$19</f>
        <v>2.9</v>
      </c>
      <c r="M19" s="23"/>
      <c r="N19" s="24">
        <f>C19*Start!$C$22</f>
        <v>3.8</v>
      </c>
      <c r="P19" s="24">
        <f>C19*Start!$C$20</f>
        <v>1.5</v>
      </c>
      <c r="Q19" s="27">
        <f>C19*Start!$C$21</f>
        <v>1.8</v>
      </c>
      <c r="R19" s="2">
        <f t="shared" si="1"/>
        <v>1000</v>
      </c>
      <c r="T19" s="67">
        <f t="shared" si="2"/>
        <v>2.7118791152765573E-3</v>
      </c>
    </row>
    <row r="20" spans="2:20">
      <c r="B20" t="s">
        <v>11</v>
      </c>
      <c r="C20" s="2">
        <v>9000</v>
      </c>
      <c r="D20" s="24">
        <f>C20*Start!$C$16</f>
        <v>67.5</v>
      </c>
      <c r="E20" s="23"/>
      <c r="F20" s="24">
        <f>C20*Start!$C$15</f>
        <v>41.4</v>
      </c>
      <c r="G20" s="27">
        <f t="shared" si="0"/>
        <v>3.4499999999999997</v>
      </c>
      <c r="H20" s="24">
        <f>C20*Start!$C$17</f>
        <v>49.5</v>
      </c>
      <c r="I20" s="23"/>
      <c r="J20" s="24">
        <f>C20*Start!$C$18</f>
        <v>55.8</v>
      </c>
      <c r="K20" s="23"/>
      <c r="L20" s="24">
        <f>C20*Start!$C$19</f>
        <v>26.099999999999998</v>
      </c>
      <c r="M20" s="23"/>
      <c r="N20" s="24">
        <f>C20*Start!$C$22</f>
        <v>34.200000000000003</v>
      </c>
      <c r="P20" s="24">
        <f>C20*Start!$C$20</f>
        <v>13.5</v>
      </c>
      <c r="Q20" s="27">
        <f>C20*Start!$C$21</f>
        <v>16.2</v>
      </c>
      <c r="R20" s="2">
        <f t="shared" si="1"/>
        <v>9000</v>
      </c>
      <c r="T20" s="67">
        <f t="shared" si="2"/>
        <v>2.4406912037489018E-2</v>
      </c>
    </row>
    <row r="21" spans="2:20">
      <c r="B21" t="s">
        <v>12</v>
      </c>
      <c r="C21" s="2">
        <v>1000</v>
      </c>
      <c r="D21" s="24">
        <f>C21*Start!$C$16</f>
        <v>7.5</v>
      </c>
      <c r="E21" s="23"/>
      <c r="F21" s="24">
        <f>C21*Start!$C$15</f>
        <v>4.5999999999999996</v>
      </c>
      <c r="G21" s="27">
        <f t="shared" si="0"/>
        <v>0.3833333333333333</v>
      </c>
      <c r="H21" s="24">
        <f>C21*Start!$C$17</f>
        <v>5.5</v>
      </c>
      <c r="I21" s="23"/>
      <c r="J21" s="24">
        <f>C21*Start!$C$18</f>
        <v>6.2</v>
      </c>
      <c r="K21" s="23"/>
      <c r="L21" s="24">
        <f>C21*Start!$C$19</f>
        <v>2.9</v>
      </c>
      <c r="M21" s="23"/>
      <c r="N21" s="24">
        <f>C21*Start!$C$22</f>
        <v>3.8</v>
      </c>
      <c r="P21" s="24">
        <f>C21*Start!$C$20</f>
        <v>1.5</v>
      </c>
      <c r="Q21" s="27">
        <f>C21*Start!$C$21</f>
        <v>1.8</v>
      </c>
      <c r="R21" s="2">
        <f t="shared" si="1"/>
        <v>1000</v>
      </c>
      <c r="T21" s="67">
        <f t="shared" si="2"/>
        <v>2.7118791152765573E-3</v>
      </c>
    </row>
    <row r="22" spans="2:20">
      <c r="B22" t="s">
        <v>342</v>
      </c>
      <c r="C22" s="2">
        <v>550</v>
      </c>
      <c r="D22" s="24">
        <f>C22*Start!$C$16</f>
        <v>4.125</v>
      </c>
      <c r="E22" s="23"/>
      <c r="F22" s="24">
        <f>C22*Start!$C$15</f>
        <v>2.5299999999999998</v>
      </c>
      <c r="G22" s="27">
        <f t="shared" si="0"/>
        <v>0.21083333333333332</v>
      </c>
      <c r="H22" s="24">
        <f>C22*Start!$C$17</f>
        <v>3.0249999999999999</v>
      </c>
      <c r="I22" s="23"/>
      <c r="J22" s="24">
        <f>C22*Start!$C$18</f>
        <v>3.4099999999999997</v>
      </c>
      <c r="K22" s="23"/>
      <c r="L22" s="24">
        <f>C22*Start!$C$19</f>
        <v>1.595</v>
      </c>
      <c r="M22" s="23"/>
      <c r="N22" s="24">
        <f>C22*Start!$C$22</f>
        <v>2.09</v>
      </c>
      <c r="P22" s="24">
        <f>C22*Start!$C$20</f>
        <v>0.82500000000000007</v>
      </c>
      <c r="Q22" s="27">
        <f>C22*Start!$C$21</f>
        <v>0.99</v>
      </c>
      <c r="R22" s="2">
        <f t="shared" si="1"/>
        <v>550</v>
      </c>
      <c r="T22" s="67">
        <f t="shared" si="2"/>
        <v>1.4915335134021066E-3</v>
      </c>
    </row>
    <row r="23" spans="2:20">
      <c r="B23" t="s">
        <v>262</v>
      </c>
      <c r="C23" s="2">
        <v>2500</v>
      </c>
      <c r="D23" s="24">
        <f>C23*Start!$C$16</f>
        <v>18.75</v>
      </c>
      <c r="E23" s="23"/>
      <c r="F23" s="24">
        <f>C23*Start!$C$15</f>
        <v>11.5</v>
      </c>
      <c r="G23" s="27">
        <f t="shared" si="0"/>
        <v>0.95833333333333337</v>
      </c>
      <c r="H23" s="24">
        <f>C23*Start!$C$17</f>
        <v>13.75</v>
      </c>
      <c r="I23" s="23"/>
      <c r="J23" s="24">
        <f>C23*Start!$C$18</f>
        <v>15.5</v>
      </c>
      <c r="K23" s="23"/>
      <c r="L23" s="24">
        <f>C23*Start!$C$19</f>
        <v>7.2499999999999991</v>
      </c>
      <c r="M23" s="23"/>
      <c r="N23" s="24">
        <f>C23*Start!$C$22</f>
        <v>9.5</v>
      </c>
      <c r="P23" s="24">
        <f>C23*Start!$C$20</f>
        <v>3.75</v>
      </c>
      <c r="Q23" s="27">
        <f>C23*Start!$C$21</f>
        <v>4.5</v>
      </c>
      <c r="R23" s="2">
        <f t="shared" si="1"/>
        <v>2500</v>
      </c>
      <c r="T23" s="67">
        <f t="shared" si="2"/>
        <v>6.7796977881913936E-3</v>
      </c>
    </row>
    <row r="24" spans="2:20">
      <c r="B24" t="s">
        <v>425</v>
      </c>
      <c r="C24" s="2">
        <v>300</v>
      </c>
      <c r="D24" s="24">
        <f>C24*Start!$C$16</f>
        <v>2.25</v>
      </c>
      <c r="E24" s="23"/>
      <c r="F24" s="24">
        <f>C24*Start!$C$15</f>
        <v>1.38</v>
      </c>
      <c r="G24" s="27">
        <f t="shared" si="0"/>
        <v>0.11499999999999999</v>
      </c>
      <c r="H24" s="24">
        <f>C24*Start!$C$17</f>
        <v>1.65</v>
      </c>
      <c r="I24" s="23"/>
      <c r="J24" s="24">
        <f>C24*Start!$C$18</f>
        <v>1.8599999999999999</v>
      </c>
      <c r="K24" s="23"/>
      <c r="L24" s="24">
        <f>C24*Start!$C$19</f>
        <v>0.86999999999999988</v>
      </c>
      <c r="M24" s="23"/>
      <c r="N24" s="24">
        <f>C24*Start!$C$22</f>
        <v>1.1399999999999999</v>
      </c>
      <c r="P24" s="24">
        <f>C24*Start!$C$20</f>
        <v>0.45</v>
      </c>
      <c r="Q24" s="27">
        <f>C24*Start!$C$21</f>
        <v>0.54</v>
      </c>
      <c r="R24" s="2">
        <f t="shared" si="1"/>
        <v>300</v>
      </c>
      <c r="T24" s="67">
        <f t="shared" si="2"/>
        <v>8.1356373458296727E-4</v>
      </c>
    </row>
    <row r="25" spans="2:20">
      <c r="B25" t="s">
        <v>444</v>
      </c>
      <c r="C25" s="2">
        <v>594</v>
      </c>
      <c r="D25" s="24">
        <f>C25*Start!$C$16</f>
        <v>4.4550000000000001</v>
      </c>
      <c r="E25" s="23"/>
      <c r="F25" s="24">
        <f>C25*Start!$C$15</f>
        <v>2.7324000000000002</v>
      </c>
      <c r="G25" s="27">
        <f t="shared" si="0"/>
        <v>0.22770000000000001</v>
      </c>
      <c r="H25" s="24">
        <f>C25*Start!$C$17</f>
        <v>3.2669999999999999</v>
      </c>
      <c r="I25" s="23"/>
      <c r="J25" s="24">
        <f>C25*Start!$C$18</f>
        <v>3.6827999999999999</v>
      </c>
      <c r="K25" s="23"/>
      <c r="L25" s="24">
        <f>C25*Start!$C$19</f>
        <v>1.7225999999999999</v>
      </c>
      <c r="M25" s="23"/>
      <c r="N25" s="24">
        <f>C25*Start!$C$22</f>
        <v>2.2572000000000001</v>
      </c>
      <c r="P25" s="24">
        <f>C25*Start!$C$20</f>
        <v>0.89100000000000001</v>
      </c>
      <c r="Q25" s="27">
        <f>C25*Start!$C$21</f>
        <v>1.0691999999999999</v>
      </c>
      <c r="R25" s="2">
        <f t="shared" si="1"/>
        <v>594</v>
      </c>
      <c r="T25" s="67">
        <f t="shared" si="2"/>
        <v>1.6108561944742751E-3</v>
      </c>
    </row>
    <row r="26" spans="2:20">
      <c r="B26" t="s">
        <v>346</v>
      </c>
      <c r="C26" s="2">
        <v>1080</v>
      </c>
      <c r="D26" s="24">
        <f>C26*Start!$C$16</f>
        <v>8.1</v>
      </c>
      <c r="E26" s="23"/>
      <c r="F26" s="24">
        <f>C26*Start!$C$15</f>
        <v>4.968</v>
      </c>
      <c r="G26" s="27">
        <f t="shared" si="0"/>
        <v>0.41399999999999998</v>
      </c>
      <c r="H26" s="24">
        <f>C26*Start!$C$17</f>
        <v>5.9399999999999995</v>
      </c>
      <c r="I26" s="23"/>
      <c r="J26" s="24">
        <f>C26*Start!$C$18</f>
        <v>6.6959999999999997</v>
      </c>
      <c r="K26" s="23"/>
      <c r="L26" s="24">
        <f>C26*Start!$C$19</f>
        <v>3.1319999999999997</v>
      </c>
      <c r="M26" s="23"/>
      <c r="N26" s="24">
        <f>C26*Start!$C$22</f>
        <v>4.1040000000000001</v>
      </c>
      <c r="P26" s="24">
        <f>C26*Start!$C$20</f>
        <v>1.62</v>
      </c>
      <c r="Q26" s="27">
        <f>C26*Start!$C$21</f>
        <v>1.944</v>
      </c>
      <c r="R26" s="2">
        <f t="shared" si="1"/>
        <v>1080</v>
      </c>
      <c r="T26" s="67">
        <f t="shared" si="2"/>
        <v>2.9288294444986822E-3</v>
      </c>
    </row>
    <row r="27" spans="2:20">
      <c r="B27" t="s">
        <v>260</v>
      </c>
      <c r="C27" s="2">
        <v>470</v>
      </c>
      <c r="D27" s="24">
        <f>C27*Start!$C$16</f>
        <v>3.5249999999999999</v>
      </c>
      <c r="E27" s="23"/>
      <c r="F27" s="24">
        <f>C27*Start!$C$15</f>
        <v>2.1619999999999999</v>
      </c>
      <c r="G27" s="27">
        <f t="shared" si="0"/>
        <v>0.18016666666666667</v>
      </c>
      <c r="H27" s="24">
        <f>C27*Start!$C$17</f>
        <v>2.585</v>
      </c>
      <c r="I27" s="23"/>
      <c r="J27" s="24">
        <f>C27*Start!$C$18</f>
        <v>2.9139999999999997</v>
      </c>
      <c r="K27" s="23"/>
      <c r="L27" s="24">
        <f>C27*Start!$C$19</f>
        <v>1.363</v>
      </c>
      <c r="M27" s="23"/>
      <c r="N27" s="24">
        <f>C27*Start!$C$22</f>
        <v>1.786</v>
      </c>
      <c r="P27" s="24">
        <f>C27*Start!$C$20</f>
        <v>0.70499999999999996</v>
      </c>
      <c r="Q27" s="27">
        <f>C27*Start!$C$21</f>
        <v>0.84599999999999997</v>
      </c>
      <c r="R27" s="2">
        <f t="shared" si="1"/>
        <v>470</v>
      </c>
      <c r="T27" s="67">
        <f t="shared" si="2"/>
        <v>1.274583184179982E-3</v>
      </c>
    </row>
    <row r="28" spans="2:20" s="151" customFormat="1">
      <c r="B28" s="151" t="s">
        <v>368</v>
      </c>
      <c r="C28" s="154">
        <v>231750</v>
      </c>
      <c r="D28" s="152">
        <f>C28*Start!$C$16</f>
        <v>1738.125</v>
      </c>
      <c r="E28" s="153">
        <f>D28/12</f>
        <v>144.84375</v>
      </c>
      <c r="F28" s="152">
        <f>C28*Start!$C$15</f>
        <v>1066.05</v>
      </c>
      <c r="G28" s="153">
        <f t="shared" si="0"/>
        <v>88.837499999999991</v>
      </c>
      <c r="H28" s="152">
        <f>C28*Start!$C$17</f>
        <v>1274.625</v>
      </c>
      <c r="I28" s="153">
        <f>H28/12</f>
        <v>106.21875</v>
      </c>
      <c r="J28" s="152">
        <f>C28*Start!$C$18</f>
        <v>1436.85</v>
      </c>
      <c r="K28" s="153">
        <f>J28/12</f>
        <v>119.7375</v>
      </c>
      <c r="L28" s="152">
        <f>C28*Start!$C$19</f>
        <v>672.07499999999993</v>
      </c>
      <c r="M28" s="153">
        <f>L28/12</f>
        <v>56.006249999999994</v>
      </c>
      <c r="N28" s="152">
        <f>C28*Start!$C$22</f>
        <v>880.65</v>
      </c>
      <c r="O28" s="154">
        <f>N28/12</f>
        <v>73.387500000000003</v>
      </c>
      <c r="P28" s="152">
        <f>C28*Start!$C$20</f>
        <v>347.625</v>
      </c>
      <c r="Q28" s="153">
        <f>C28*Start!$C$21</f>
        <v>417.15</v>
      </c>
      <c r="R28" s="154">
        <f t="shared" si="1"/>
        <v>231750</v>
      </c>
      <c r="T28" s="155">
        <f t="shared" si="2"/>
        <v>0.62847798496534224</v>
      </c>
    </row>
    <row r="29" spans="2:20">
      <c r="B29" t="s">
        <v>483</v>
      </c>
      <c r="C29" s="2">
        <v>70000</v>
      </c>
      <c r="D29" s="24">
        <f>C29*Start!$C$16</f>
        <v>525</v>
      </c>
      <c r="E29" s="27">
        <f>D29/12</f>
        <v>43.75</v>
      </c>
      <c r="F29" s="24">
        <f>C29*Start!$C$15</f>
        <v>322</v>
      </c>
      <c r="G29" s="26">
        <f>F29/12</f>
        <v>26.833333333333332</v>
      </c>
      <c r="H29" s="24">
        <f>C29*Start!$C$17</f>
        <v>385</v>
      </c>
      <c r="I29" s="27">
        <f>H29/12</f>
        <v>32.083333333333336</v>
      </c>
      <c r="J29" s="24">
        <f>C29*Start!$C$18</f>
        <v>434</v>
      </c>
      <c r="K29" s="27">
        <f>J29/12</f>
        <v>36.166666666666664</v>
      </c>
      <c r="L29" s="24">
        <f>C29*Start!$C$19</f>
        <v>203</v>
      </c>
      <c r="M29" s="27">
        <f>L29/12</f>
        <v>16.916666666666668</v>
      </c>
      <c r="N29" s="24">
        <f>C29*Start!$C$22</f>
        <v>266</v>
      </c>
      <c r="O29" s="2">
        <f>N29/12</f>
        <v>22.166666666666668</v>
      </c>
      <c r="P29" s="24">
        <f>C29*Start!$C$20</f>
        <v>105</v>
      </c>
      <c r="Q29" s="2">
        <f>C29*Start!$C$21</f>
        <v>126</v>
      </c>
      <c r="R29" s="2"/>
      <c r="S29" s="101"/>
      <c r="T29" s="67"/>
    </row>
    <row r="30" spans="2:20">
      <c r="B30" t="s">
        <v>309</v>
      </c>
      <c r="C30" s="2">
        <v>30000</v>
      </c>
      <c r="D30" s="24">
        <f>C30*Start!$C$16</f>
        <v>225</v>
      </c>
      <c r="E30" s="27">
        <f>D30/12</f>
        <v>18.75</v>
      </c>
      <c r="F30" s="24">
        <f>C30*Start!$C$15</f>
        <v>138</v>
      </c>
      <c r="G30" s="26">
        <f t="shared" ref="G30:G37" si="4">F30/12</f>
        <v>11.5</v>
      </c>
      <c r="H30" s="24">
        <f>C30*Start!$C$17</f>
        <v>165</v>
      </c>
      <c r="I30" s="27">
        <f>H30/12</f>
        <v>13.75</v>
      </c>
      <c r="J30" s="24">
        <f>C30*Start!$C$18</f>
        <v>186</v>
      </c>
      <c r="K30" s="27">
        <f>J30/12</f>
        <v>15.5</v>
      </c>
      <c r="L30" s="24">
        <f>C30*Start!$C$19</f>
        <v>87</v>
      </c>
      <c r="M30" s="27">
        <f>L30/12</f>
        <v>7.25</v>
      </c>
      <c r="N30" s="24">
        <f>C30*Start!$C$22</f>
        <v>114</v>
      </c>
      <c r="O30" s="2">
        <f>N30/12</f>
        <v>9.5</v>
      </c>
      <c r="P30" s="24">
        <f>C30*Start!$C$20</f>
        <v>45</v>
      </c>
      <c r="Q30" s="2">
        <f>C30*Start!$C$21</f>
        <v>54</v>
      </c>
      <c r="R30" s="2"/>
      <c r="S30" s="101"/>
      <c r="T30" s="67"/>
    </row>
    <row r="31" spans="2:20">
      <c r="B31" t="s">
        <v>482</v>
      </c>
      <c r="C31" s="2">
        <v>0</v>
      </c>
      <c r="D31" s="24">
        <f>C31*Start!$C$16</f>
        <v>0</v>
      </c>
      <c r="E31" s="27">
        <f>D31/12</f>
        <v>0</v>
      </c>
      <c r="F31" s="24">
        <f>C31*Start!$C$15</f>
        <v>0</v>
      </c>
      <c r="G31" s="26">
        <f t="shared" si="4"/>
        <v>0</v>
      </c>
      <c r="H31" s="24">
        <f>C31*Start!$C$17</f>
        <v>0</v>
      </c>
      <c r="I31" s="27">
        <f>H31/12</f>
        <v>0</v>
      </c>
      <c r="J31" s="24">
        <f>C31*Start!$C$18</f>
        <v>0</v>
      </c>
      <c r="K31" s="27">
        <f>J31/12</f>
        <v>0</v>
      </c>
      <c r="L31" s="24">
        <f>C31*Start!$C$19</f>
        <v>0</v>
      </c>
      <c r="M31" s="27">
        <f>L31/12</f>
        <v>0</v>
      </c>
      <c r="N31" s="24">
        <f>C31*Start!$C$22</f>
        <v>0</v>
      </c>
      <c r="O31" s="2">
        <f>N31/12</f>
        <v>0</v>
      </c>
      <c r="P31" s="24">
        <f>C31*Start!$C$20</f>
        <v>0</v>
      </c>
      <c r="Q31" s="2">
        <f>C31*Start!$C$21</f>
        <v>0</v>
      </c>
      <c r="R31" s="2"/>
      <c r="S31" s="101"/>
      <c r="T31" s="67"/>
    </row>
    <row r="32" spans="2:20">
      <c r="B32" t="s">
        <v>3</v>
      </c>
      <c r="C32" s="2">
        <v>8000</v>
      </c>
      <c r="D32" s="24">
        <f>C32*Start!$C$16</f>
        <v>60</v>
      </c>
      <c r="E32" s="23"/>
      <c r="F32" s="24">
        <f>C32*Start!$C$15</f>
        <v>36.799999999999997</v>
      </c>
      <c r="G32" s="27">
        <f t="shared" si="4"/>
        <v>3.0666666666666664</v>
      </c>
      <c r="H32" s="24">
        <f>C32*Start!$C$17</f>
        <v>44</v>
      </c>
      <c r="I32" s="23"/>
      <c r="J32" s="24">
        <f>C32*Start!$C$18</f>
        <v>49.6</v>
      </c>
      <c r="K32" s="23"/>
      <c r="L32" s="24">
        <f>C32*Start!$C$19</f>
        <v>23.2</v>
      </c>
      <c r="M32" s="23"/>
      <c r="N32" s="24">
        <f>C32*Start!$C$22</f>
        <v>30.4</v>
      </c>
      <c r="P32" s="24">
        <f>C32*Start!$C$20</f>
        <v>12</v>
      </c>
      <c r="Q32" s="27">
        <f>C32*Start!$C$21</f>
        <v>14.4</v>
      </c>
      <c r="R32" s="2">
        <f t="shared" si="1"/>
        <v>8000</v>
      </c>
      <c r="T32" s="67">
        <f t="shared" si="2"/>
        <v>2.1695032922212459E-2</v>
      </c>
    </row>
    <row r="33" spans="1:22">
      <c r="B33" t="s">
        <v>4</v>
      </c>
      <c r="C33" s="2">
        <v>0</v>
      </c>
      <c r="D33" s="24">
        <f>C33*Start!$C$16</f>
        <v>0</v>
      </c>
      <c r="E33" s="23"/>
      <c r="F33" s="24">
        <f>C33*Start!$C$15</f>
        <v>0</v>
      </c>
      <c r="G33" s="27">
        <f t="shared" si="4"/>
        <v>0</v>
      </c>
      <c r="H33" s="24">
        <f>C33*Start!$C$17</f>
        <v>0</v>
      </c>
      <c r="I33" s="23"/>
      <c r="J33" s="24">
        <f>C33*Start!$C$18</f>
        <v>0</v>
      </c>
      <c r="K33" s="23"/>
      <c r="L33" s="24">
        <f>C33*Start!$C$19</f>
        <v>0</v>
      </c>
      <c r="M33" s="23"/>
      <c r="N33" s="24">
        <f>C33*Start!$C$22</f>
        <v>0</v>
      </c>
      <c r="P33" s="24">
        <f>C33*Start!$C$20</f>
        <v>0</v>
      </c>
      <c r="Q33" s="27">
        <f>C33*Start!$C$21</f>
        <v>0</v>
      </c>
      <c r="R33" s="2">
        <f t="shared" si="1"/>
        <v>0</v>
      </c>
      <c r="T33" s="67">
        <f t="shared" si="2"/>
        <v>0</v>
      </c>
    </row>
    <row r="34" spans="1:22">
      <c r="B34" t="s">
        <v>267</v>
      </c>
      <c r="C34" s="2">
        <v>7200</v>
      </c>
      <c r="D34" s="24">
        <f>C34*Start!$C$16</f>
        <v>54</v>
      </c>
      <c r="E34" s="23"/>
      <c r="F34" s="24">
        <f>C34*Start!$C$15</f>
        <v>33.119999999999997</v>
      </c>
      <c r="G34" s="27">
        <f t="shared" si="4"/>
        <v>2.76</v>
      </c>
      <c r="H34" s="24">
        <f>C34*Start!$C$17</f>
        <v>39.599999999999994</v>
      </c>
      <c r="I34" s="23"/>
      <c r="J34" s="24">
        <f>C34*Start!$C$18</f>
        <v>44.64</v>
      </c>
      <c r="K34" s="23"/>
      <c r="L34" s="24">
        <f>C34*Start!$C$19</f>
        <v>20.88</v>
      </c>
      <c r="M34" s="23"/>
      <c r="N34" s="24">
        <f>C34*Start!$C$22</f>
        <v>27.36</v>
      </c>
      <c r="P34" s="24">
        <f>C34*Start!$C$20</f>
        <v>10.8</v>
      </c>
      <c r="Q34" s="27">
        <f>C34*Start!$C$21</f>
        <v>12.959999999999999</v>
      </c>
      <c r="R34" s="2">
        <f t="shared" si="1"/>
        <v>7200</v>
      </c>
      <c r="T34" s="67">
        <f t="shared" si="2"/>
        <v>1.9525529629991212E-2</v>
      </c>
    </row>
    <row r="35" spans="1:22">
      <c r="B35" t="s">
        <v>264</v>
      </c>
      <c r="C35" s="2">
        <v>52660</v>
      </c>
      <c r="D35" s="24">
        <f>C35*Start!$C$16</f>
        <v>394.95</v>
      </c>
      <c r="E35" s="23"/>
      <c r="F35" s="24">
        <f>C35*Start!$C$15</f>
        <v>242.23599999999999</v>
      </c>
      <c r="G35" s="27">
        <f t="shared" si="4"/>
        <v>20.186333333333334</v>
      </c>
      <c r="H35" s="24">
        <f>C35*Start!$C$17</f>
        <v>289.63</v>
      </c>
      <c r="I35" s="23"/>
      <c r="J35" s="24">
        <f>C35*Start!$C$18</f>
        <v>326.49199999999996</v>
      </c>
      <c r="K35" s="23"/>
      <c r="L35" s="24">
        <f>C35*Start!$C$19</f>
        <v>152.714</v>
      </c>
      <c r="M35" s="23"/>
      <c r="N35" s="24">
        <f>C35*Start!$C$22</f>
        <v>200.108</v>
      </c>
      <c r="P35" s="24">
        <f>C35*Start!$C$20</f>
        <v>78.989999999999995</v>
      </c>
      <c r="Q35" s="27">
        <f>C35*Start!$C$21</f>
        <v>94.787999999999997</v>
      </c>
      <c r="R35" s="2">
        <f t="shared" si="1"/>
        <v>52660</v>
      </c>
      <c r="T35" s="67">
        <f t="shared" si="2"/>
        <v>0.14280755421046351</v>
      </c>
    </row>
    <row r="36" spans="1:22">
      <c r="B36" t="s">
        <v>263</v>
      </c>
      <c r="C36" s="2">
        <v>19365</v>
      </c>
      <c r="D36" s="24">
        <f>C36*Start!$C$16</f>
        <v>145.23749999999998</v>
      </c>
      <c r="E36" s="23"/>
      <c r="F36" s="24">
        <f>C36*Start!$C$15</f>
        <v>89.078999999999994</v>
      </c>
      <c r="G36" s="27">
        <f t="shared" si="4"/>
        <v>7.4232499999999995</v>
      </c>
      <c r="H36" s="24">
        <f>C36*Start!$C$17</f>
        <v>106.50749999999999</v>
      </c>
      <c r="I36" s="23"/>
      <c r="J36" s="24">
        <f>C36*Start!$C$18</f>
        <v>120.063</v>
      </c>
      <c r="K36" s="23"/>
      <c r="L36" s="24">
        <f>C36*Start!$C$19</f>
        <v>56.158499999999997</v>
      </c>
      <c r="M36" s="23"/>
      <c r="N36" s="24">
        <f>C36*Start!$C$22</f>
        <v>73.587000000000003</v>
      </c>
      <c r="P36" s="24">
        <f>C36*Start!$C$20</f>
        <v>29.047499999999999</v>
      </c>
      <c r="Q36" s="27">
        <f>C36*Start!$C$21</f>
        <v>34.856999999999999</v>
      </c>
      <c r="R36" s="2">
        <f t="shared" si="1"/>
        <v>19365</v>
      </c>
      <c r="T36" s="67">
        <f t="shared" si="2"/>
        <v>5.2515539067330537E-2</v>
      </c>
    </row>
    <row r="37" spans="1:22">
      <c r="B37" t="s">
        <v>2</v>
      </c>
      <c r="C37" s="2">
        <v>1500</v>
      </c>
      <c r="D37" s="24">
        <f>C37*Start!$C$16</f>
        <v>11.25</v>
      </c>
      <c r="E37" s="23"/>
      <c r="F37" s="24">
        <f>C37*Start!$C$15</f>
        <v>6.8999999999999995</v>
      </c>
      <c r="G37" s="27">
        <f t="shared" si="4"/>
        <v>0.57499999999999996</v>
      </c>
      <c r="H37" s="24">
        <f>C37*Start!$C$17</f>
        <v>8.25</v>
      </c>
      <c r="I37" s="23"/>
      <c r="J37" s="24">
        <f>C37*Start!$C$18</f>
        <v>9.2999999999999989</v>
      </c>
      <c r="K37" s="23"/>
      <c r="L37" s="24">
        <f>C37*Start!$C$19</f>
        <v>4.3499999999999996</v>
      </c>
      <c r="M37" s="23"/>
      <c r="N37" s="24">
        <f>C37*Start!$C$22</f>
        <v>5.7</v>
      </c>
      <c r="P37" s="24">
        <f>C37*Start!$C$20</f>
        <v>2.25</v>
      </c>
      <c r="Q37" s="27">
        <f>C37*Start!$C$21</f>
        <v>2.6999999999999997</v>
      </c>
      <c r="R37" s="2">
        <f t="shared" si="1"/>
        <v>1500</v>
      </c>
      <c r="T37" s="67">
        <f t="shared" si="2"/>
        <v>4.0678186729148358E-3</v>
      </c>
    </row>
    <row r="38" spans="1:22">
      <c r="B38" t="s">
        <v>270</v>
      </c>
      <c r="C38" s="2">
        <v>-8000</v>
      </c>
      <c r="D38" s="24">
        <f>C38*Start!$C$16</f>
        <v>-60</v>
      </c>
      <c r="E38" s="23"/>
      <c r="F38" s="24">
        <f>C38*Start!$C$15</f>
        <v>-36.799999999999997</v>
      </c>
      <c r="G38" s="27"/>
      <c r="H38" s="24">
        <f>C38*Start!$C$17</f>
        <v>-44</v>
      </c>
      <c r="I38" s="23"/>
      <c r="J38" s="24">
        <f>C38*Start!$C$18</f>
        <v>-49.6</v>
      </c>
      <c r="K38" s="23"/>
      <c r="L38" s="24">
        <f>C38*Start!$C$19</f>
        <v>-23.2</v>
      </c>
      <c r="M38" s="23"/>
      <c r="N38" s="24">
        <f>C38*Start!$C$22</f>
        <v>-30.4</v>
      </c>
      <c r="P38" s="24">
        <f>C38*Start!$C$20</f>
        <v>-12</v>
      </c>
      <c r="Q38" s="27">
        <f>C38*Start!$C$21</f>
        <v>-14.4</v>
      </c>
      <c r="R38" s="2">
        <f t="shared" si="1"/>
        <v>-8000</v>
      </c>
      <c r="T38" s="67">
        <f t="shared" si="2"/>
        <v>-2.1695032922212459E-2</v>
      </c>
    </row>
    <row r="39" spans="1:22">
      <c r="B39" t="s">
        <v>269</v>
      </c>
      <c r="C39" s="2">
        <v>-3000</v>
      </c>
      <c r="D39" s="24">
        <f>C39*Start!$C$16</f>
        <v>-22.5</v>
      </c>
      <c r="E39" s="23"/>
      <c r="F39" s="24">
        <f>C39*Start!$C$15</f>
        <v>-13.799999999999999</v>
      </c>
      <c r="G39" s="27"/>
      <c r="H39" s="24">
        <f>C39*Start!$C$17</f>
        <v>-16.5</v>
      </c>
      <c r="I39" s="23"/>
      <c r="J39" s="24">
        <f>C39*Start!$C$18</f>
        <v>-18.599999999999998</v>
      </c>
      <c r="K39" s="23"/>
      <c r="L39" s="24">
        <f>C39*Start!$C$19</f>
        <v>-8.6999999999999993</v>
      </c>
      <c r="M39" s="23"/>
      <c r="N39" s="24">
        <f>C39*Start!$C$22</f>
        <v>-11.4</v>
      </c>
      <c r="P39" s="24">
        <f>C39*Start!$C$20</f>
        <v>-4.5</v>
      </c>
      <c r="Q39" s="27">
        <f>C39*Start!$C$21</f>
        <v>-5.3999999999999995</v>
      </c>
      <c r="R39" s="2">
        <f t="shared" si="1"/>
        <v>-3000</v>
      </c>
      <c r="T39" s="67">
        <f t="shared" si="2"/>
        <v>-8.1356373458296716E-3</v>
      </c>
    </row>
    <row r="40" spans="1:22" s="1" customFormat="1">
      <c r="B40" s="1" t="s">
        <v>312</v>
      </c>
      <c r="C40" s="3">
        <f>SUM(C4:C39)</f>
        <v>486748</v>
      </c>
      <c r="D40" s="25">
        <f>C40*Start!$B$6</f>
        <v>3650.6099999999997</v>
      </c>
      <c r="E40" s="29"/>
      <c r="F40" s="25">
        <f>C40*Start!$C$15</f>
        <v>2239.0407999999998</v>
      </c>
      <c r="G40" s="29"/>
      <c r="H40" s="25">
        <f>C40*Start!$C$17</f>
        <v>2677.114</v>
      </c>
      <c r="I40" s="29"/>
      <c r="J40" s="25">
        <f>C40*Start!$C$18</f>
        <v>3017.8375999999998</v>
      </c>
      <c r="K40" s="29"/>
      <c r="L40" s="25">
        <f>C40*Start!$C$19</f>
        <v>1411.5691999999999</v>
      </c>
      <c r="M40" s="29"/>
      <c r="N40" s="25">
        <f>C40*Start!$C$22</f>
        <v>1849.6424</v>
      </c>
      <c r="P40" s="25">
        <f>C40*Start!$C$20</f>
        <v>730.12200000000007</v>
      </c>
      <c r="Q40" s="26">
        <f>C40*Start!$C$21</f>
        <v>876.14639999999997</v>
      </c>
      <c r="R40" s="3">
        <f>SUM(R4:R39)</f>
        <v>386748</v>
      </c>
      <c r="T40" s="67">
        <f t="shared" si="2"/>
        <v>1.048813824074978</v>
      </c>
    </row>
    <row r="41" spans="1:22">
      <c r="B41" s="19"/>
      <c r="C41" s="2"/>
      <c r="D41" s="22"/>
      <c r="E41" s="23"/>
      <c r="F41" s="24"/>
      <c r="G41" s="23"/>
      <c r="H41" s="24"/>
      <c r="I41" s="23"/>
      <c r="J41" s="24"/>
      <c r="K41" s="23"/>
      <c r="L41" s="24"/>
      <c r="M41" s="23"/>
      <c r="N41" s="24"/>
      <c r="P41" s="24"/>
      <c r="Q41" s="27"/>
      <c r="R41" s="2"/>
      <c r="T41" s="67"/>
    </row>
    <row r="42" spans="1:22">
      <c r="B42" s="1" t="s">
        <v>5</v>
      </c>
      <c r="C42" s="2"/>
      <c r="D42" s="22"/>
      <c r="E42" s="23"/>
      <c r="F42" s="24"/>
      <c r="G42" s="23"/>
      <c r="H42" s="24"/>
      <c r="I42" s="23"/>
      <c r="J42" s="24"/>
      <c r="K42" s="23"/>
      <c r="L42" s="24"/>
      <c r="M42" s="23"/>
      <c r="N42" s="24"/>
      <c r="P42" s="24"/>
      <c r="Q42" s="27"/>
      <c r="R42" s="2"/>
      <c r="T42" s="67"/>
    </row>
    <row r="43" spans="1:22">
      <c r="B43" t="s">
        <v>310</v>
      </c>
      <c r="C43" s="2">
        <v>18000</v>
      </c>
      <c r="D43" s="24">
        <f>C43*Start!$C$16</f>
        <v>135</v>
      </c>
      <c r="E43" s="23"/>
      <c r="F43" s="24">
        <f>C43*Start!$C$15</f>
        <v>82.8</v>
      </c>
      <c r="G43" s="27">
        <f>F43/12</f>
        <v>6.8999999999999995</v>
      </c>
      <c r="H43" s="24">
        <f>C43*Start!$C$17</f>
        <v>99</v>
      </c>
      <c r="I43" s="23"/>
      <c r="J43" s="24">
        <f>C43*Start!$C$18</f>
        <v>111.6</v>
      </c>
      <c r="K43" s="23"/>
      <c r="L43" s="24">
        <f>C43*Start!$C$19</f>
        <v>52.199999999999996</v>
      </c>
      <c r="M43" s="23"/>
      <c r="N43" s="24">
        <f>C43*Start!$C$22</f>
        <v>68.400000000000006</v>
      </c>
      <c r="P43" s="24">
        <f>C43*Start!$C$20</f>
        <v>27</v>
      </c>
      <c r="Q43" s="27">
        <f>C43*Start!$C$21</f>
        <v>32.4</v>
      </c>
      <c r="R43" s="2">
        <f t="shared" si="1"/>
        <v>18000</v>
      </c>
      <c r="T43" s="67">
        <f t="shared" si="2"/>
        <v>4.8813824074978036E-2</v>
      </c>
    </row>
    <row r="44" spans="1:22">
      <c r="B44" t="s">
        <v>311</v>
      </c>
      <c r="C44" s="2">
        <v>0</v>
      </c>
      <c r="D44" s="24">
        <f>C44*Start!$C$16</f>
        <v>0</v>
      </c>
      <c r="E44" s="23"/>
      <c r="F44" s="24">
        <f>C44*Start!$C$15</f>
        <v>0</v>
      </c>
      <c r="G44" s="23"/>
      <c r="H44" s="24">
        <f>C44*Start!$C$17</f>
        <v>0</v>
      </c>
      <c r="I44" s="23"/>
      <c r="J44" s="24">
        <f>C44*Start!$C$18</f>
        <v>0</v>
      </c>
      <c r="K44" s="23"/>
      <c r="L44" s="24">
        <f>C44*Start!$C$19</f>
        <v>0</v>
      </c>
      <c r="M44" s="23"/>
      <c r="N44" s="24">
        <f>C44*Start!$C$22</f>
        <v>0</v>
      </c>
      <c r="P44" s="24">
        <f>C44*Start!$C$20</f>
        <v>0</v>
      </c>
      <c r="Q44" s="27">
        <f>C44*Start!$C$21</f>
        <v>0</v>
      </c>
      <c r="R44" s="2">
        <f t="shared" si="1"/>
        <v>0</v>
      </c>
      <c r="T44" s="67"/>
    </row>
    <row r="45" spans="1:22" s="1" customFormat="1">
      <c r="B45" s="1" t="s">
        <v>271</v>
      </c>
      <c r="C45" s="3">
        <f>SUM(C43:C44)</f>
        <v>18000</v>
      </c>
      <c r="D45" s="25">
        <f>C45*Start!$B$6</f>
        <v>135</v>
      </c>
      <c r="E45" s="29"/>
      <c r="F45" s="25">
        <f>C45*Start!$C$15</f>
        <v>82.8</v>
      </c>
      <c r="G45" s="29"/>
      <c r="H45" s="25">
        <f>C45*Start!$C$17</f>
        <v>99</v>
      </c>
      <c r="I45" s="29"/>
      <c r="J45" s="25">
        <f>C45*Start!$C$18</f>
        <v>111.6</v>
      </c>
      <c r="K45" s="29"/>
      <c r="L45" s="25">
        <f>C45*Start!$C$19</f>
        <v>52.199999999999996</v>
      </c>
      <c r="M45" s="29"/>
      <c r="N45" s="25">
        <f>C45*Start!$C$22</f>
        <v>68.400000000000006</v>
      </c>
      <c r="P45" s="25">
        <f>C45*Start!$C$20</f>
        <v>27</v>
      </c>
      <c r="Q45" s="26">
        <f>C45*Start!$C$21</f>
        <v>32.4</v>
      </c>
      <c r="R45" s="2">
        <f t="shared" si="1"/>
        <v>18000</v>
      </c>
      <c r="T45" s="67">
        <f t="shared" si="2"/>
        <v>4.8813824074978036E-2</v>
      </c>
    </row>
    <row r="46" spans="1:22">
      <c r="C46" s="2"/>
      <c r="D46" s="22"/>
      <c r="E46" s="23"/>
      <c r="F46" s="24"/>
      <c r="G46" s="23"/>
      <c r="H46" s="24"/>
      <c r="I46" s="23"/>
      <c r="J46" s="24"/>
      <c r="K46" s="23"/>
      <c r="L46" s="24"/>
      <c r="M46" s="23"/>
      <c r="N46" s="24"/>
      <c r="P46" s="22"/>
      <c r="Q46" s="23"/>
      <c r="R46" s="2">
        <f t="shared" si="1"/>
        <v>0</v>
      </c>
      <c r="T46" s="67"/>
    </row>
    <row r="47" spans="1:22" s="1" customFormat="1">
      <c r="A47" s="1" t="s">
        <v>268</v>
      </c>
      <c r="B47" s="1" t="s">
        <v>318</v>
      </c>
      <c r="C47" s="3">
        <f>C40-C45</f>
        <v>468748</v>
      </c>
      <c r="D47" s="25">
        <f>C47*Start!$B$6</f>
        <v>3515.6099999999997</v>
      </c>
      <c r="E47" s="26">
        <f>D47/12</f>
        <v>292.96749999999997</v>
      </c>
      <c r="F47" s="25">
        <f>C47*Start!$C$15</f>
        <v>2156.2408</v>
      </c>
      <c r="G47" s="26">
        <f>F47/12</f>
        <v>179.68673333333334</v>
      </c>
      <c r="H47" s="25">
        <f>C47*Start!$C$17</f>
        <v>2578.114</v>
      </c>
      <c r="I47" s="26">
        <f>H47/12</f>
        <v>214.84283333333335</v>
      </c>
      <c r="J47" s="25">
        <f>C47*Start!$C$18</f>
        <v>2906.2375999999999</v>
      </c>
      <c r="K47" s="26">
        <f>J47/12</f>
        <v>242.18646666666666</v>
      </c>
      <c r="L47" s="25">
        <f>C47*Start!$C$19</f>
        <v>1359.3691999999999</v>
      </c>
      <c r="M47" s="26">
        <f>L47/12</f>
        <v>113.28076666666665</v>
      </c>
      <c r="N47" s="25">
        <f>C47*Start!$C$22</f>
        <v>1781.2424000000001</v>
      </c>
      <c r="O47" s="3">
        <f>N47/12</f>
        <v>148.43686666666667</v>
      </c>
      <c r="P47" s="25">
        <f>C47*Start!$C$20</f>
        <v>703.12200000000007</v>
      </c>
      <c r="Q47" s="26">
        <f>C47*Start!$C$21</f>
        <v>843.74639999999999</v>
      </c>
      <c r="R47" s="3">
        <f>R40-R45</f>
        <v>368748</v>
      </c>
      <c r="S47" s="74">
        <f>R47/R84</f>
        <v>0.37665742935911201</v>
      </c>
      <c r="T47" s="67">
        <f t="shared" si="2"/>
        <v>1</v>
      </c>
      <c r="U47" s="3">
        <f>R47</f>
        <v>368748</v>
      </c>
      <c r="V47" s="103">
        <f>U47/U84</f>
        <v>0.37665742935911201</v>
      </c>
    </row>
    <row r="48" spans="1:22">
      <c r="C48" s="2"/>
      <c r="D48" s="24"/>
      <c r="E48" s="23"/>
      <c r="F48" s="22"/>
      <c r="G48" s="23"/>
      <c r="H48" s="22"/>
      <c r="I48" s="23"/>
      <c r="J48" s="22"/>
      <c r="K48" s="23"/>
      <c r="L48" s="22"/>
      <c r="M48" s="23"/>
      <c r="N48" s="22"/>
      <c r="P48" s="22"/>
      <c r="Q48" s="23"/>
      <c r="S48" s="1"/>
      <c r="T48" s="2"/>
    </row>
    <row r="49" spans="1:20">
      <c r="A49" t="s">
        <v>276</v>
      </c>
      <c r="B49" s="1" t="s">
        <v>7</v>
      </c>
      <c r="C49" s="2"/>
      <c r="D49" s="24"/>
      <c r="E49" s="23"/>
      <c r="F49" s="22"/>
      <c r="G49" s="23"/>
      <c r="H49" s="22"/>
      <c r="I49" s="23"/>
      <c r="J49" s="22"/>
      <c r="K49" s="23"/>
      <c r="L49" s="22"/>
      <c r="M49" s="23"/>
      <c r="N49" s="22"/>
      <c r="P49" s="22"/>
      <c r="Q49" s="23"/>
      <c r="T49" s="2"/>
    </row>
    <row r="50" spans="1:20">
      <c r="B50" s="36" t="s">
        <v>16</v>
      </c>
      <c r="C50" s="2"/>
      <c r="D50" s="24"/>
      <c r="E50" s="23"/>
      <c r="F50" s="22"/>
      <c r="G50" s="23"/>
      <c r="H50" s="22"/>
      <c r="I50" s="23"/>
      <c r="J50" s="22"/>
      <c r="K50" s="23"/>
      <c r="L50" s="22"/>
      <c r="M50" s="23"/>
      <c r="N50" s="22"/>
      <c r="P50" s="22"/>
      <c r="Q50" s="23"/>
      <c r="T50" s="2"/>
    </row>
    <row r="51" spans="1:20">
      <c r="B51" t="s">
        <v>313</v>
      </c>
      <c r="C51" s="2">
        <v>0</v>
      </c>
      <c r="D51" s="24">
        <f>C51/Start!$B$9</f>
        <v>0</v>
      </c>
      <c r="E51" s="27">
        <f>D51/12</f>
        <v>0</v>
      </c>
      <c r="F51" s="24">
        <f>$C51/Start!$B$9</f>
        <v>0</v>
      </c>
      <c r="G51" s="27"/>
      <c r="H51" s="24">
        <f>$C51/Start!$B$9</f>
        <v>0</v>
      </c>
      <c r="I51" s="27"/>
      <c r="J51" s="24">
        <f>$C51/Start!$B$9</f>
        <v>0</v>
      </c>
      <c r="K51" s="27"/>
      <c r="L51" s="24">
        <f>$C51/Start!$B$9</f>
        <v>0</v>
      </c>
      <c r="M51" s="23"/>
      <c r="N51" s="24">
        <f>$C51/Start!$B$9</f>
        <v>0</v>
      </c>
      <c r="P51" s="22"/>
      <c r="Q51" s="23"/>
      <c r="R51" s="2">
        <f>C51</f>
        <v>0</v>
      </c>
      <c r="T51" s="67"/>
    </row>
    <row r="52" spans="1:20">
      <c r="B52" t="s">
        <v>314</v>
      </c>
      <c r="C52" s="3">
        <v>3628</v>
      </c>
      <c r="D52" s="24">
        <f>C52/Start!$B$9</f>
        <v>17.784313725490197</v>
      </c>
      <c r="E52" s="27">
        <f t="shared" ref="E52:E57" si="5">D52/12</f>
        <v>1.4820261437908497</v>
      </c>
      <c r="F52" s="24">
        <f>$C52/Start!$B$9</f>
        <v>17.784313725490197</v>
      </c>
      <c r="G52" s="27">
        <f t="shared" ref="G52:G57" si="6">F52/12</f>
        <v>1.4820261437908497</v>
      </c>
      <c r="H52" s="24">
        <f>$C52/Start!$B$9</f>
        <v>17.784313725490197</v>
      </c>
      <c r="I52" s="27"/>
      <c r="J52" s="24">
        <f>$C52/Start!$B$9</f>
        <v>17.784313725490197</v>
      </c>
      <c r="K52" s="27"/>
      <c r="L52" s="24">
        <f>$C52/Start!$B$9</f>
        <v>17.784313725490197</v>
      </c>
      <c r="M52" s="23"/>
      <c r="N52" s="24">
        <f>$C52/Start!$B$9</f>
        <v>17.784313725490197</v>
      </c>
      <c r="P52" s="22"/>
      <c r="Q52" s="23"/>
      <c r="R52" s="2">
        <f t="shared" ref="R52:R59" si="7">C52</f>
        <v>3628</v>
      </c>
      <c r="T52" s="67">
        <f t="shared" ref="T52:T59" si="8">R52/$R$59</f>
        <v>2.5712625267544545E-2</v>
      </c>
    </row>
    <row r="53" spans="1:20">
      <c r="B53" t="s">
        <v>275</v>
      </c>
      <c r="C53" s="2">
        <v>0</v>
      </c>
      <c r="D53" s="24">
        <f>C53/Start!$B$9</f>
        <v>0</v>
      </c>
      <c r="E53" s="27">
        <f t="shared" si="5"/>
        <v>0</v>
      </c>
      <c r="F53" s="24">
        <f>$C53/Start!$B$9</f>
        <v>0</v>
      </c>
      <c r="G53" s="27">
        <f t="shared" si="6"/>
        <v>0</v>
      </c>
      <c r="H53" s="24">
        <f>$C53/Start!$B$9</f>
        <v>0</v>
      </c>
      <c r="I53" s="27"/>
      <c r="J53" s="24">
        <f>$C53/Start!$B$9</f>
        <v>0</v>
      </c>
      <c r="K53" s="27"/>
      <c r="L53" s="24">
        <f>$C53/Start!$B$9</f>
        <v>0</v>
      </c>
      <c r="M53" s="23"/>
      <c r="N53" s="24">
        <f>$C53/Start!$B$9</f>
        <v>0</v>
      </c>
      <c r="P53" s="22"/>
      <c r="Q53" s="23"/>
      <c r="R53" s="2">
        <f t="shared" si="7"/>
        <v>0</v>
      </c>
      <c r="T53" s="67"/>
    </row>
    <row r="54" spans="1:20">
      <c r="B54" t="s">
        <v>272</v>
      </c>
      <c r="C54" s="3">
        <v>4425</v>
      </c>
      <c r="D54" s="24">
        <f>C54/Start!$B$9</f>
        <v>21.691176470588236</v>
      </c>
      <c r="E54" s="27">
        <f t="shared" si="5"/>
        <v>1.8075980392156863</v>
      </c>
      <c r="F54" s="24">
        <f>$C54/Start!$B$9</f>
        <v>21.691176470588236</v>
      </c>
      <c r="G54" s="27">
        <f t="shared" si="6"/>
        <v>1.8075980392156863</v>
      </c>
      <c r="H54" s="24">
        <f>$C54/Start!$B$9</f>
        <v>21.691176470588236</v>
      </c>
      <c r="I54" s="27"/>
      <c r="J54" s="24">
        <f>$C54/Start!$B$9</f>
        <v>21.691176470588236</v>
      </c>
      <c r="K54" s="27"/>
      <c r="L54" s="24">
        <f>$C54/Start!$B$9</f>
        <v>21.691176470588236</v>
      </c>
      <c r="M54" s="23"/>
      <c r="N54" s="24">
        <f>$C54/Start!$B$9</f>
        <v>21.691176470588236</v>
      </c>
      <c r="P54" s="22"/>
      <c r="Q54" s="23"/>
      <c r="R54" s="2">
        <f t="shared" si="7"/>
        <v>4425</v>
      </c>
      <c r="T54" s="67">
        <f t="shared" si="8"/>
        <v>3.1361181590100498E-2</v>
      </c>
    </row>
    <row r="55" spans="1:20">
      <c r="B55" t="s">
        <v>315</v>
      </c>
      <c r="C55" s="3">
        <v>96695</v>
      </c>
      <c r="D55" s="24">
        <f>C55/Start!$B$9</f>
        <v>473.99509803921569</v>
      </c>
      <c r="E55" s="27">
        <f t="shared" si="5"/>
        <v>39.499591503267972</v>
      </c>
      <c r="F55" s="24">
        <f>$C55/Start!$B$9</f>
        <v>473.99509803921569</v>
      </c>
      <c r="G55" s="27">
        <f t="shared" si="6"/>
        <v>39.499591503267972</v>
      </c>
      <c r="H55" s="24">
        <f>$C55/Start!$B$9</f>
        <v>473.99509803921569</v>
      </c>
      <c r="I55" s="27"/>
      <c r="J55" s="24">
        <f>$C55/Start!$B$9</f>
        <v>473.99509803921569</v>
      </c>
      <c r="K55" s="27"/>
      <c r="L55" s="24">
        <f>$C55/Start!$B$9</f>
        <v>473.99509803921569</v>
      </c>
      <c r="M55" s="23"/>
      <c r="N55" s="24">
        <f>$C55/Start!$B$9</f>
        <v>473.99509803921569</v>
      </c>
      <c r="P55" s="22"/>
      <c r="Q55" s="23"/>
      <c r="R55" s="2">
        <f t="shared" si="7"/>
        <v>96695</v>
      </c>
      <c r="T55" s="104">
        <f t="shared" si="8"/>
        <v>0.68530383137960849</v>
      </c>
    </row>
    <row r="56" spans="1:20">
      <c r="B56" t="s">
        <v>273</v>
      </c>
      <c r="C56" s="3">
        <v>2500</v>
      </c>
      <c r="D56" s="24">
        <f>C56/Start!$B$9</f>
        <v>12.254901960784315</v>
      </c>
      <c r="E56" s="27">
        <f t="shared" si="5"/>
        <v>1.0212418300653596</v>
      </c>
      <c r="F56" s="24">
        <f>$C56/Start!$B$9</f>
        <v>12.254901960784315</v>
      </c>
      <c r="G56" s="27">
        <f t="shared" si="6"/>
        <v>1.0212418300653596</v>
      </c>
      <c r="H56" s="24">
        <f>$C56/Start!$B$9</f>
        <v>12.254901960784315</v>
      </c>
      <c r="I56" s="27"/>
      <c r="J56" s="24">
        <f>$C56/Start!$B$9</f>
        <v>12.254901960784315</v>
      </c>
      <c r="K56" s="27"/>
      <c r="L56" s="24">
        <f>$C56/Start!$B$9</f>
        <v>12.254901960784315</v>
      </c>
      <c r="M56" s="23"/>
      <c r="N56" s="24">
        <f>$C56/Start!$B$9</f>
        <v>12.254901960784315</v>
      </c>
      <c r="P56" s="22"/>
      <c r="Q56" s="23"/>
      <c r="R56" s="2">
        <f t="shared" si="7"/>
        <v>2500</v>
      </c>
      <c r="T56" s="67">
        <f t="shared" si="8"/>
        <v>1.7718181689322314E-2</v>
      </c>
    </row>
    <row r="57" spans="1:20">
      <c r="B57" t="s">
        <v>316</v>
      </c>
      <c r="C57" s="3">
        <v>33850</v>
      </c>
      <c r="D57" s="24">
        <f>C57/Start!$B$9</f>
        <v>165.93137254901961</v>
      </c>
      <c r="E57" s="27">
        <f t="shared" si="5"/>
        <v>13.827614379084968</v>
      </c>
      <c r="F57" s="24">
        <f>$C57/Start!$B$9</f>
        <v>165.93137254901961</v>
      </c>
      <c r="G57" s="27">
        <f t="shared" si="6"/>
        <v>13.827614379084968</v>
      </c>
      <c r="H57" s="24">
        <f>$C57/Start!$B$9</f>
        <v>165.93137254901961</v>
      </c>
      <c r="I57" s="27"/>
      <c r="J57" s="24">
        <f>$C57/Start!$B$9</f>
        <v>165.93137254901961</v>
      </c>
      <c r="K57" s="27"/>
      <c r="L57" s="24">
        <f>$C57/Start!$B$9</f>
        <v>165.93137254901961</v>
      </c>
      <c r="M57" s="23"/>
      <c r="N57" s="24">
        <f>$C57/Start!$B$9</f>
        <v>165.93137254901961</v>
      </c>
      <c r="P57" s="22"/>
      <c r="Q57" s="23"/>
      <c r="R57" s="2">
        <f t="shared" si="7"/>
        <v>33850</v>
      </c>
      <c r="T57" s="104">
        <f t="shared" si="8"/>
        <v>0.23990418007342415</v>
      </c>
    </row>
    <row r="58" spans="1:20">
      <c r="C58" s="2"/>
      <c r="D58" s="24"/>
      <c r="E58" s="27"/>
      <c r="F58" s="24"/>
      <c r="G58" s="27"/>
      <c r="H58" s="24"/>
      <c r="I58" s="27"/>
      <c r="J58" s="24"/>
      <c r="K58" s="27"/>
      <c r="L58" s="24"/>
      <c r="M58" s="23"/>
      <c r="N58" s="24"/>
      <c r="P58" s="22"/>
      <c r="Q58" s="23"/>
      <c r="R58" s="2">
        <f t="shared" si="7"/>
        <v>0</v>
      </c>
      <c r="T58" s="67"/>
    </row>
    <row r="59" spans="1:20" s="1" customFormat="1">
      <c r="A59" s="1" t="s">
        <v>276</v>
      </c>
      <c r="B59" s="1" t="s">
        <v>15</v>
      </c>
      <c r="C59" s="3">
        <f>SUM(C51:C58)</f>
        <v>141098</v>
      </c>
      <c r="D59" s="25">
        <f>$C59/Start!$B$9</f>
        <v>691.65686274509801</v>
      </c>
      <c r="E59" s="26">
        <f>D59/12</f>
        <v>57.638071895424837</v>
      </c>
      <c r="F59" s="25">
        <f>$C59/Start!$B$9</f>
        <v>691.65686274509801</v>
      </c>
      <c r="G59" s="26">
        <f>F59/12</f>
        <v>57.638071895424837</v>
      </c>
      <c r="H59" s="25">
        <f>$C59/Start!$B$9</f>
        <v>691.65686274509801</v>
      </c>
      <c r="I59" s="26">
        <f>H59/12</f>
        <v>57.638071895424837</v>
      </c>
      <c r="J59" s="25">
        <f>$C59/Start!$B$9</f>
        <v>691.65686274509801</v>
      </c>
      <c r="K59" s="26">
        <f>J59/12</f>
        <v>57.638071895424837</v>
      </c>
      <c r="L59" s="25">
        <f>$C59/Start!$B$9</f>
        <v>691.65686274509801</v>
      </c>
      <c r="M59" s="26">
        <f>L59/12</f>
        <v>57.638071895424837</v>
      </c>
      <c r="N59" s="25">
        <f>$C59/Start!$B$9</f>
        <v>691.65686274509801</v>
      </c>
      <c r="O59" s="3">
        <f>N59/12</f>
        <v>57.638071895424837</v>
      </c>
      <c r="P59" s="25">
        <v>0</v>
      </c>
      <c r="Q59" s="26">
        <v>0</v>
      </c>
      <c r="R59" s="3">
        <f t="shared" si="7"/>
        <v>141098</v>
      </c>
      <c r="S59" s="74">
        <f>R59/R84</f>
        <v>0.14412446974007176</v>
      </c>
      <c r="T59" s="67">
        <f t="shared" si="8"/>
        <v>1</v>
      </c>
    </row>
    <row r="60" spans="1:20">
      <c r="D60" s="22"/>
      <c r="E60" s="23"/>
      <c r="F60" s="22"/>
      <c r="G60" s="23"/>
      <c r="H60" s="22"/>
      <c r="I60" s="23"/>
      <c r="J60" s="22"/>
      <c r="K60" s="23"/>
      <c r="L60" s="22"/>
      <c r="M60" s="23"/>
      <c r="N60" s="22"/>
      <c r="P60" s="22"/>
      <c r="Q60" s="23"/>
      <c r="T60" s="100"/>
    </row>
    <row r="61" spans="1:20">
      <c r="A61" s="1" t="s">
        <v>277</v>
      </c>
      <c r="B61" s="1" t="s">
        <v>8</v>
      </c>
      <c r="D61" s="22"/>
      <c r="E61" s="23"/>
      <c r="F61" s="22"/>
      <c r="G61" s="23"/>
      <c r="H61" s="22"/>
      <c r="I61" s="23"/>
      <c r="J61" s="22"/>
      <c r="K61" s="23"/>
      <c r="L61" s="22"/>
      <c r="M61" s="23"/>
      <c r="N61" s="22"/>
      <c r="P61" s="22"/>
      <c r="Q61" s="23"/>
      <c r="T61" s="100"/>
    </row>
    <row r="62" spans="1:20">
      <c r="B62" s="36" t="s">
        <v>16</v>
      </c>
      <c r="D62" s="22"/>
      <c r="E62" s="23"/>
      <c r="F62" s="22"/>
      <c r="G62" s="23"/>
      <c r="H62" s="22"/>
      <c r="I62" s="23"/>
      <c r="J62" s="22"/>
      <c r="K62" s="23"/>
      <c r="L62" s="22"/>
      <c r="M62" s="23"/>
      <c r="N62" s="22"/>
      <c r="P62" s="22"/>
      <c r="Q62" s="23"/>
      <c r="T62" s="100"/>
    </row>
    <row r="63" spans="1:20">
      <c r="B63" t="s">
        <v>442</v>
      </c>
      <c r="C63" s="2">
        <v>7924</v>
      </c>
      <c r="D63" s="24">
        <f>$C63/Start!$B$9</f>
        <v>38.843137254901961</v>
      </c>
      <c r="E63" s="27">
        <f>D63/12</f>
        <v>3.2369281045751634</v>
      </c>
      <c r="F63" s="24">
        <f>$C63/Start!$B$9</f>
        <v>38.843137254901961</v>
      </c>
      <c r="G63" s="27">
        <f t="shared" ref="G63:G70" si="9">F63/12</f>
        <v>3.2369281045751634</v>
      </c>
      <c r="H63" s="24">
        <f>$C63/Start!$B$9</f>
        <v>38.843137254901961</v>
      </c>
      <c r="I63" s="27"/>
      <c r="J63" s="24">
        <f>$C63/Start!$B$9</f>
        <v>38.843137254901961</v>
      </c>
      <c r="K63" s="27"/>
      <c r="L63" s="24">
        <f>$C63/Start!$B$9</f>
        <v>38.843137254901961</v>
      </c>
      <c r="M63" s="27"/>
      <c r="N63" s="24">
        <f>$C63/Start!$B$9</f>
        <v>38.843137254901961</v>
      </c>
      <c r="O63" s="2"/>
      <c r="P63" s="24"/>
      <c r="Q63" s="27"/>
      <c r="R63" s="2">
        <f t="shared" ref="R63:R70" si="10">C63</f>
        <v>7924</v>
      </c>
      <c r="T63" s="67">
        <f>R63/$R$70</f>
        <v>2.1465238179084665E-2</v>
      </c>
    </row>
    <row r="64" spans="1:20">
      <c r="B64" t="s">
        <v>440</v>
      </c>
      <c r="C64" s="2">
        <v>190335</v>
      </c>
      <c r="D64" s="24">
        <f>$C64/Start!$B$9</f>
        <v>933.01470588235293</v>
      </c>
      <c r="E64" s="27">
        <f>D64/12</f>
        <v>77.751225490196077</v>
      </c>
      <c r="F64" s="24">
        <f>$C64/Start!$B$9</f>
        <v>933.01470588235293</v>
      </c>
      <c r="G64" s="27">
        <f t="shared" si="9"/>
        <v>77.751225490196077</v>
      </c>
      <c r="H64" s="24">
        <f>$C64/Start!$B$9</f>
        <v>933.01470588235293</v>
      </c>
      <c r="I64" s="27">
        <f>H64/12</f>
        <v>77.751225490196077</v>
      </c>
      <c r="J64" s="24">
        <f>$C64/Start!$B$9</f>
        <v>933.01470588235293</v>
      </c>
      <c r="K64" s="27">
        <f>J64/12</f>
        <v>77.751225490196077</v>
      </c>
      <c r="L64" s="24">
        <f>$C64/Start!$B$9</f>
        <v>933.01470588235293</v>
      </c>
      <c r="M64" s="27"/>
      <c r="N64" s="24">
        <f>$C64/Start!$B$9</f>
        <v>933.01470588235293</v>
      </c>
      <c r="O64" s="2"/>
      <c r="P64" s="24"/>
      <c r="Q64" s="27"/>
      <c r="R64" s="2">
        <f t="shared" si="10"/>
        <v>190335</v>
      </c>
      <c r="T64" s="104">
        <f t="shared" ref="T64:T70" si="11">R64/$R$70</f>
        <v>0.5155964296840081</v>
      </c>
    </row>
    <row r="65" spans="1:28">
      <c r="B65" t="s">
        <v>9</v>
      </c>
      <c r="C65" s="2">
        <v>0</v>
      </c>
      <c r="D65" s="24">
        <f>$C65/Start!$B$9</f>
        <v>0</v>
      </c>
      <c r="E65" s="27">
        <f t="shared" ref="E65:E69" si="12">D65/12</f>
        <v>0</v>
      </c>
      <c r="F65" s="24">
        <f>$C65/Start!$B$9</f>
        <v>0</v>
      </c>
      <c r="G65" s="27">
        <f t="shared" si="9"/>
        <v>0</v>
      </c>
      <c r="H65" s="24">
        <f>$C65/Start!$B$9</f>
        <v>0</v>
      </c>
      <c r="I65" s="27"/>
      <c r="J65" s="24">
        <f>$C65/Start!$B$9</f>
        <v>0</v>
      </c>
      <c r="K65" s="27"/>
      <c r="L65" s="24">
        <f>$C65/Start!$B$9</f>
        <v>0</v>
      </c>
      <c r="M65" s="27"/>
      <c r="N65" s="24">
        <f>$C65/Start!$B$9</f>
        <v>0</v>
      </c>
      <c r="O65" s="2"/>
      <c r="P65" s="24"/>
      <c r="Q65" s="27"/>
      <c r="R65" s="2">
        <f t="shared" si="10"/>
        <v>0</v>
      </c>
      <c r="T65" s="67"/>
    </row>
    <row r="66" spans="1:28" s="1" customFormat="1">
      <c r="A66"/>
      <c r="B66" t="s">
        <v>441</v>
      </c>
      <c r="C66" s="2">
        <v>18386</v>
      </c>
      <c r="D66" s="24">
        <f>$C66/Start!$B$9</f>
        <v>90.127450980392155</v>
      </c>
      <c r="E66" s="27">
        <f t="shared" si="12"/>
        <v>7.5106209150326793</v>
      </c>
      <c r="F66" s="24">
        <f>$C66/Start!$B$9</f>
        <v>90.127450980392155</v>
      </c>
      <c r="G66" s="27">
        <f t="shared" si="9"/>
        <v>7.5106209150326793</v>
      </c>
      <c r="H66" s="24">
        <f>$C66/Start!$B$9</f>
        <v>90.127450980392155</v>
      </c>
      <c r="I66" s="26"/>
      <c r="J66" s="24">
        <f>$C66/Start!$B$9</f>
        <v>90.127450980392155</v>
      </c>
      <c r="K66" s="26"/>
      <c r="L66" s="24">
        <f>$C66/Start!$B$9</f>
        <v>90.127450980392155</v>
      </c>
      <c r="M66" s="26"/>
      <c r="N66" s="24">
        <f>$C66/Start!$B$9</f>
        <v>90.127450980392155</v>
      </c>
      <c r="O66" s="3"/>
      <c r="P66" s="25"/>
      <c r="Q66" s="26"/>
      <c r="R66" s="2">
        <f t="shared" si="10"/>
        <v>18386</v>
      </c>
      <c r="S66"/>
      <c r="T66" s="67">
        <f t="shared" si="11"/>
        <v>4.9805637198466771E-2</v>
      </c>
    </row>
    <row r="67" spans="1:28" s="1" customFormat="1">
      <c r="A67"/>
      <c r="B67" t="s">
        <v>278</v>
      </c>
      <c r="C67" s="2">
        <v>93186</v>
      </c>
      <c r="D67" s="24">
        <f>$C67/Start!$B$9</f>
        <v>456.79411764705884</v>
      </c>
      <c r="E67" s="27">
        <f t="shared" si="12"/>
        <v>38.066176470588239</v>
      </c>
      <c r="F67" s="24">
        <f>$C67/Start!$B$9</f>
        <v>456.79411764705884</v>
      </c>
      <c r="G67" s="27">
        <f t="shared" si="9"/>
        <v>38.066176470588239</v>
      </c>
      <c r="H67" s="24">
        <f>$C67/Start!$B$9</f>
        <v>456.79411764705884</v>
      </c>
      <c r="I67" s="26"/>
      <c r="J67" s="24">
        <f>$C67/Start!$B$9</f>
        <v>456.79411764705884</v>
      </c>
      <c r="K67" s="26"/>
      <c r="L67" s="24">
        <f>$C67/Start!$B$9</f>
        <v>456.79411764705884</v>
      </c>
      <c r="M67" s="26"/>
      <c r="N67" s="24">
        <f>$C67/Start!$B$9</f>
        <v>456.79411764705884</v>
      </c>
      <c r="O67" s="3"/>
      <c r="P67" s="25"/>
      <c r="Q67" s="26"/>
      <c r="R67" s="2">
        <f t="shared" si="10"/>
        <v>93186</v>
      </c>
      <c r="T67" s="67">
        <f t="shared" si="11"/>
        <v>0.25243055085262289</v>
      </c>
    </row>
    <row r="68" spans="1:28" s="1" customFormat="1">
      <c r="B68" t="s">
        <v>274</v>
      </c>
      <c r="C68" s="2">
        <v>17047</v>
      </c>
      <c r="D68" s="24">
        <f>$C68/Start!$B$9</f>
        <v>83.563725490196077</v>
      </c>
      <c r="E68" s="27">
        <f t="shared" si="12"/>
        <v>6.9636437908496731</v>
      </c>
      <c r="F68" s="24">
        <f>$C68/Start!$B$9</f>
        <v>83.563725490196077</v>
      </c>
      <c r="G68" s="27">
        <f t="shared" si="9"/>
        <v>6.9636437908496731</v>
      </c>
      <c r="H68" s="24">
        <f>$C68/Start!$B$9</f>
        <v>83.563725490196077</v>
      </c>
      <c r="I68" s="26"/>
      <c r="J68" s="24">
        <f>$C68/Start!$B$9</f>
        <v>83.563725490196077</v>
      </c>
      <c r="K68" s="26"/>
      <c r="L68" s="24">
        <f>$C68/Start!$B$9</f>
        <v>83.563725490196077</v>
      </c>
      <c r="M68" s="26"/>
      <c r="N68" s="24">
        <f>$C68/Start!$B$9</f>
        <v>83.563725490196077</v>
      </c>
      <c r="O68" s="3"/>
      <c r="P68" s="25"/>
      <c r="Q68" s="26"/>
      <c r="R68" s="2">
        <f t="shared" si="10"/>
        <v>17047</v>
      </c>
      <c r="S68"/>
      <c r="T68" s="67">
        <f t="shared" si="11"/>
        <v>4.6178434532919775E-2</v>
      </c>
    </row>
    <row r="69" spans="1:28" s="1" customFormat="1">
      <c r="B69" t="s">
        <v>10</v>
      </c>
      <c r="C69" s="2">
        <v>42277</v>
      </c>
      <c r="D69" s="24">
        <f>$C69/Start!$B$9</f>
        <v>207.24019607843138</v>
      </c>
      <c r="E69" s="27">
        <f t="shared" si="12"/>
        <v>17.270016339869283</v>
      </c>
      <c r="F69" s="24">
        <f>$C69/Start!$B$9</f>
        <v>207.24019607843138</v>
      </c>
      <c r="G69" s="27">
        <f t="shared" si="9"/>
        <v>17.270016339869283</v>
      </c>
      <c r="H69" s="24">
        <f>$C69/Start!$B$9</f>
        <v>207.24019607843138</v>
      </c>
      <c r="I69" s="26"/>
      <c r="J69" s="24">
        <f>$C69/Start!$B$9</f>
        <v>207.24019607843138</v>
      </c>
      <c r="K69" s="26"/>
      <c r="L69" s="24">
        <f>$C69/Start!$B$9</f>
        <v>207.24019607843138</v>
      </c>
      <c r="M69" s="26"/>
      <c r="N69" s="24">
        <f>$C69/Start!$B$9</f>
        <v>207.24019607843138</v>
      </c>
      <c r="O69" s="3"/>
      <c r="P69" s="25"/>
      <c r="Q69" s="26"/>
      <c r="R69" s="2">
        <f t="shared" si="10"/>
        <v>42277</v>
      </c>
      <c r="T69" s="67">
        <f t="shared" si="11"/>
        <v>0.11452370955289784</v>
      </c>
    </row>
    <row r="70" spans="1:28" s="1" customFormat="1">
      <c r="A70" s="1" t="s">
        <v>277</v>
      </c>
      <c r="B70" s="1" t="s">
        <v>279</v>
      </c>
      <c r="C70" s="3">
        <f>SUM(C63:C69)</f>
        <v>369155</v>
      </c>
      <c r="D70" s="25">
        <f>$C70/Start!$B$9</f>
        <v>1809.5833333333333</v>
      </c>
      <c r="E70" s="26">
        <f>D70/12</f>
        <v>150.79861111111111</v>
      </c>
      <c r="F70" s="25">
        <f>$C70/Start!$B$9</f>
        <v>1809.5833333333333</v>
      </c>
      <c r="G70" s="26">
        <f t="shared" si="9"/>
        <v>150.79861111111111</v>
      </c>
      <c r="H70" s="25">
        <f>$C70/Start!$B$9</f>
        <v>1809.5833333333333</v>
      </c>
      <c r="I70" s="26">
        <f>H70/12</f>
        <v>150.79861111111111</v>
      </c>
      <c r="J70" s="25">
        <f>$C70/Start!$B$9</f>
        <v>1809.5833333333333</v>
      </c>
      <c r="K70" s="26">
        <f>J70/12</f>
        <v>150.79861111111111</v>
      </c>
      <c r="L70" s="25">
        <f>$C70/Start!$B$9</f>
        <v>1809.5833333333333</v>
      </c>
      <c r="M70" s="26">
        <f>L70/12</f>
        <v>150.79861111111111</v>
      </c>
      <c r="N70" s="25">
        <f>$C70/Start!$B$9</f>
        <v>1809.5833333333333</v>
      </c>
      <c r="O70" s="3">
        <f>N70/12</f>
        <v>150.79861111111111</v>
      </c>
      <c r="P70" s="25">
        <v>0</v>
      </c>
      <c r="Q70" s="26">
        <v>0</v>
      </c>
      <c r="R70" s="2">
        <f t="shared" si="10"/>
        <v>369155</v>
      </c>
      <c r="S70" s="74">
        <f>R70/R84</f>
        <v>0.37707315927154311</v>
      </c>
      <c r="T70" s="67">
        <f t="shared" si="11"/>
        <v>1</v>
      </c>
    </row>
    <row r="71" spans="1:28" s="1" customFormat="1">
      <c r="C71" s="3"/>
      <c r="D71" s="25"/>
      <c r="E71" s="26"/>
      <c r="F71" s="25"/>
      <c r="G71" s="26"/>
      <c r="H71" s="25"/>
      <c r="I71" s="26"/>
      <c r="J71" s="25"/>
      <c r="K71" s="26"/>
      <c r="L71" s="25"/>
      <c r="M71" s="26"/>
      <c r="N71" s="25"/>
      <c r="O71" s="3"/>
      <c r="P71" s="25"/>
      <c r="Q71" s="26"/>
      <c r="R71" s="2"/>
      <c r="S71" s="74"/>
      <c r="T71" s="67"/>
    </row>
    <row r="72" spans="1:28" s="1" customFormat="1">
      <c r="B72" s="1" t="s">
        <v>435</v>
      </c>
      <c r="C72" s="3"/>
      <c r="D72" s="25"/>
      <c r="E72" s="26"/>
      <c r="F72" s="25"/>
      <c r="G72" s="26"/>
      <c r="H72" s="25"/>
      <c r="I72" s="26"/>
      <c r="J72" s="25"/>
      <c r="K72" s="26"/>
      <c r="L72" s="25"/>
      <c r="M72" s="26"/>
      <c r="N72" s="25"/>
      <c r="O72" s="3"/>
      <c r="P72" s="25"/>
      <c r="Q72" s="26"/>
      <c r="R72" s="2"/>
      <c r="S72" s="74"/>
      <c r="T72" s="67"/>
    </row>
    <row r="73" spans="1:28" s="1" customFormat="1">
      <c r="B73" s="36" t="s">
        <v>16</v>
      </c>
      <c r="C73" s="3"/>
      <c r="D73" s="25"/>
      <c r="E73" s="26"/>
      <c r="F73" s="25"/>
      <c r="G73" s="26"/>
      <c r="H73" s="25"/>
      <c r="I73" s="26"/>
      <c r="J73" s="25"/>
      <c r="K73" s="26"/>
      <c r="L73" s="25"/>
      <c r="M73" s="26"/>
      <c r="N73" s="25"/>
      <c r="O73" s="3"/>
      <c r="P73" s="25"/>
      <c r="Q73" s="26"/>
      <c r="R73" s="2"/>
      <c r="S73" s="74"/>
      <c r="T73" s="67"/>
      <c r="U73" s="3"/>
      <c r="V73" s="74"/>
    </row>
    <row r="74" spans="1:28" s="1" customFormat="1">
      <c r="B74" s="1" t="s">
        <v>436</v>
      </c>
      <c r="C74" s="3"/>
      <c r="D74" s="25"/>
      <c r="E74" s="26"/>
      <c r="F74" s="25"/>
      <c r="G74" s="26"/>
      <c r="H74" s="25"/>
      <c r="I74" s="26"/>
      <c r="J74" s="25"/>
      <c r="K74" s="26"/>
      <c r="L74" s="25"/>
      <c r="M74" s="26"/>
      <c r="N74" s="25"/>
      <c r="O74" s="3"/>
      <c r="P74" s="25"/>
      <c r="Q74" s="26"/>
      <c r="R74" s="2"/>
      <c r="S74" s="74"/>
      <c r="T74" s="67"/>
      <c r="U74" s="3">
        <f>R59+R70</f>
        <v>510253</v>
      </c>
      <c r="V74" s="74">
        <f>U74/U84</f>
        <v>0.52119762901161493</v>
      </c>
    </row>
    <row r="75" spans="1:28" s="1" customFormat="1">
      <c r="C75" s="3"/>
      <c r="D75" s="25"/>
      <c r="E75" s="26"/>
      <c r="F75" s="25"/>
      <c r="G75" s="26"/>
      <c r="H75" s="25"/>
      <c r="I75" s="26"/>
      <c r="J75" s="25"/>
      <c r="K75" s="26"/>
      <c r="L75" s="25"/>
      <c r="M75" s="26"/>
      <c r="N75" s="25"/>
      <c r="O75" s="3"/>
      <c r="P75" s="25"/>
      <c r="Q75" s="26"/>
      <c r="R75" s="2"/>
      <c r="S75" s="74"/>
      <c r="T75" s="67"/>
    </row>
    <row r="76" spans="1:28" s="1" customFormat="1">
      <c r="A76" s="1" t="s">
        <v>281</v>
      </c>
      <c r="B76" s="1" t="s">
        <v>434</v>
      </c>
      <c r="C76" s="3"/>
      <c r="D76" s="25"/>
      <c r="E76" s="26"/>
      <c r="F76" s="25"/>
      <c r="G76" s="26"/>
      <c r="H76" s="25"/>
      <c r="I76" s="26"/>
      <c r="J76" s="25"/>
      <c r="K76" s="26"/>
      <c r="L76" s="25"/>
      <c r="M76" s="26"/>
      <c r="N76" s="25"/>
      <c r="O76" s="3"/>
      <c r="P76" s="25"/>
      <c r="Q76" s="26"/>
      <c r="R76" s="2"/>
      <c r="S76" s="74"/>
      <c r="T76" s="67"/>
    </row>
    <row r="77" spans="1:28" s="1" customFormat="1">
      <c r="B77" s="36" t="s">
        <v>14</v>
      </c>
      <c r="C77" s="3"/>
      <c r="D77" s="25"/>
      <c r="E77" s="26"/>
      <c r="F77" s="25"/>
      <c r="G77" s="26"/>
      <c r="H77" s="25"/>
      <c r="I77" s="26"/>
      <c r="J77" s="25"/>
      <c r="K77" s="26"/>
      <c r="L77" s="25"/>
      <c r="M77" s="26"/>
      <c r="N77" s="25"/>
      <c r="O77" s="3"/>
      <c r="P77" s="25"/>
      <c r="Q77" s="26"/>
      <c r="R77" s="2"/>
      <c r="S77" s="74"/>
      <c r="T77" s="67"/>
      <c r="Z77" s="1" t="s">
        <v>448</v>
      </c>
      <c r="AA77" s="1" t="s">
        <v>438</v>
      </c>
    </row>
    <row r="78" spans="1:28" s="1" customFormat="1">
      <c r="B78" t="s">
        <v>308</v>
      </c>
      <c r="C78" s="3"/>
      <c r="D78" s="24">
        <f>$R$78*Start!$C$16</f>
        <v>525</v>
      </c>
      <c r="E78" s="27">
        <f>D78/12</f>
        <v>43.75</v>
      </c>
      <c r="F78" s="24">
        <f>$R$78*Start!$C$15</f>
        <v>322</v>
      </c>
      <c r="G78" s="27">
        <f>F78/12</f>
        <v>26.833333333333332</v>
      </c>
      <c r="H78" s="24">
        <f>$R78*Start!$C$17</f>
        <v>385</v>
      </c>
      <c r="I78" s="27">
        <f>H78/12</f>
        <v>32.083333333333336</v>
      </c>
      <c r="J78" s="24">
        <f>$R78*Start!$C$18</f>
        <v>434</v>
      </c>
      <c r="K78" s="27">
        <f>J78/12</f>
        <v>36.166666666666664</v>
      </c>
      <c r="L78" s="24">
        <f>$R78*Start!$C$19</f>
        <v>203</v>
      </c>
      <c r="M78" s="27">
        <f>L78/12</f>
        <v>16.916666666666668</v>
      </c>
      <c r="N78" s="24">
        <f>$R78*Start!$C$22</f>
        <v>266</v>
      </c>
      <c r="O78" s="27">
        <f>N78/12</f>
        <v>22.166666666666668</v>
      </c>
      <c r="P78" s="24">
        <f>$R78*Start!$C$20</f>
        <v>105</v>
      </c>
      <c r="Q78" s="24">
        <f>$R78*Start!$C$21</f>
        <v>126</v>
      </c>
      <c r="R78" s="2">
        <f>C29</f>
        <v>70000</v>
      </c>
      <c r="S78" s="74"/>
      <c r="T78" s="67">
        <f>R78/$R$82</f>
        <v>0.7</v>
      </c>
      <c r="W78" s="1" t="s">
        <v>437</v>
      </c>
      <c r="X78" s="1">
        <v>456572</v>
      </c>
      <c r="Y78" s="109">
        <v>267743</v>
      </c>
      <c r="Z78" s="109">
        <v>77580</v>
      </c>
      <c r="AA78" s="110">
        <f>Y78-Z78</f>
        <v>190163</v>
      </c>
      <c r="AB78" s="110"/>
    </row>
    <row r="79" spans="1:28" s="1" customFormat="1">
      <c r="B79" t="s">
        <v>309</v>
      </c>
      <c r="C79" s="3"/>
      <c r="D79" s="24">
        <f>$R$79*Start!$C$16</f>
        <v>225</v>
      </c>
      <c r="E79" s="27">
        <f t="shared" ref="E79:G80" si="13">D79/12</f>
        <v>18.75</v>
      </c>
      <c r="F79" s="24">
        <f>$R$79*Start!$C$15</f>
        <v>138</v>
      </c>
      <c r="G79" s="27">
        <f t="shared" si="13"/>
        <v>11.5</v>
      </c>
      <c r="H79" s="24">
        <f>$R79*Start!$C$17</f>
        <v>165</v>
      </c>
      <c r="I79" s="27">
        <f t="shared" ref="I79" si="14">H79/12</f>
        <v>13.75</v>
      </c>
      <c r="J79" s="24">
        <f>$R79*Start!$C$18</f>
        <v>186</v>
      </c>
      <c r="K79" s="27">
        <f t="shared" ref="K79" si="15">J79/12</f>
        <v>15.5</v>
      </c>
      <c r="L79" s="24">
        <f>$R79*Start!$C$19</f>
        <v>87</v>
      </c>
      <c r="M79" s="27">
        <f t="shared" ref="M79" si="16">L79/12</f>
        <v>7.25</v>
      </c>
      <c r="N79" s="24">
        <f>$R79*Start!$C$22</f>
        <v>114</v>
      </c>
      <c r="O79" s="27">
        <f t="shared" ref="O79" si="17">N79/12</f>
        <v>9.5</v>
      </c>
      <c r="P79" s="24">
        <f>$R79*Start!$C$20</f>
        <v>45</v>
      </c>
      <c r="Q79" s="24">
        <f>$R79*Start!$C$21</f>
        <v>54</v>
      </c>
      <c r="R79" s="2">
        <f>C30</f>
        <v>30000</v>
      </c>
      <c r="S79" s="74"/>
      <c r="T79" s="67">
        <f t="shared" ref="T79:T82" si="18">R79/$R$82</f>
        <v>0.3</v>
      </c>
    </row>
    <row r="80" spans="1:28" s="1" customFormat="1">
      <c r="B80" t="s">
        <v>431</v>
      </c>
      <c r="C80" s="3"/>
      <c r="D80" s="24">
        <f>$R$80*Start!$C$16</f>
        <v>0</v>
      </c>
      <c r="E80" s="27">
        <f t="shared" si="13"/>
        <v>0</v>
      </c>
      <c r="F80" s="24">
        <f>$R$80*Start!$C$15</f>
        <v>0</v>
      </c>
      <c r="G80" s="27">
        <f t="shared" si="13"/>
        <v>0</v>
      </c>
      <c r="H80" s="24">
        <f>$R80*Start!$C$17</f>
        <v>0</v>
      </c>
      <c r="I80" s="27">
        <f t="shared" ref="I80" si="19">H80/12</f>
        <v>0</v>
      </c>
      <c r="J80" s="24">
        <f>$R80*Start!$C$18</f>
        <v>0</v>
      </c>
      <c r="K80" s="27">
        <f t="shared" ref="K80" si="20">J80/12</f>
        <v>0</v>
      </c>
      <c r="L80" s="24">
        <f>$R80*Start!$C$19</f>
        <v>0</v>
      </c>
      <c r="M80" s="27">
        <f t="shared" ref="M80" si="21">L80/12</f>
        <v>0</v>
      </c>
      <c r="N80" s="24">
        <f>$R80*Start!$C$22</f>
        <v>0</v>
      </c>
      <c r="O80" s="27">
        <f t="shared" ref="O80" si="22">N80/12</f>
        <v>0</v>
      </c>
      <c r="P80" s="24">
        <f>$R80*Start!$C$20</f>
        <v>0</v>
      </c>
      <c r="Q80" s="24">
        <f>$R80*Start!$C$21</f>
        <v>0</v>
      </c>
      <c r="R80" s="2">
        <f>C31</f>
        <v>0</v>
      </c>
      <c r="S80" s="74"/>
      <c r="T80" s="67">
        <f t="shared" si="18"/>
        <v>0</v>
      </c>
      <c r="Y80" s="109"/>
      <c r="AB80" s="110"/>
    </row>
    <row r="81" spans="1:22" s="1" customFormat="1">
      <c r="B81" s="108"/>
      <c r="D81" s="28"/>
      <c r="E81" s="29"/>
      <c r="F81" s="28"/>
      <c r="G81" s="29"/>
      <c r="H81" s="28"/>
      <c r="I81" s="29"/>
      <c r="J81" s="28"/>
      <c r="K81" s="29"/>
      <c r="L81" s="28"/>
      <c r="M81" s="29"/>
      <c r="N81" s="28"/>
      <c r="P81" s="28"/>
      <c r="Q81" s="29"/>
      <c r="T81" s="102"/>
    </row>
    <row r="82" spans="1:22" s="1" customFormat="1">
      <c r="A82" s="1" t="s">
        <v>281</v>
      </c>
      <c r="B82" s="1" t="s">
        <v>428</v>
      </c>
      <c r="D82" s="25">
        <f>R82*Start!$C$16</f>
        <v>750</v>
      </c>
      <c r="E82" s="26">
        <f>D82/12</f>
        <v>62.5</v>
      </c>
      <c r="F82" s="25">
        <f>R82*Start!$C$15</f>
        <v>460</v>
      </c>
      <c r="G82" s="26">
        <f>F82/12</f>
        <v>38.333333333333336</v>
      </c>
      <c r="H82" s="25">
        <f>R82*Start!$C$17</f>
        <v>550</v>
      </c>
      <c r="I82" s="26">
        <f>H82/12</f>
        <v>45.833333333333336</v>
      </c>
      <c r="J82" s="25">
        <f>R82*Start!$C$18</f>
        <v>620</v>
      </c>
      <c r="K82" s="26">
        <f>J82/12</f>
        <v>51.666666666666664</v>
      </c>
      <c r="L82" s="25">
        <f>R82*Start!$C$19</f>
        <v>290</v>
      </c>
      <c r="M82" s="26">
        <f>L82/12</f>
        <v>24.166666666666668</v>
      </c>
      <c r="N82" s="25">
        <f>R82*Start!$C$22</f>
        <v>380</v>
      </c>
      <c r="O82" s="3">
        <f>N82/12</f>
        <v>31.666666666666668</v>
      </c>
      <c r="P82" s="25">
        <f>R82*Start!$C$20</f>
        <v>150</v>
      </c>
      <c r="Q82" s="25">
        <f>R82*Start!$C$21</f>
        <v>180</v>
      </c>
      <c r="R82" s="3">
        <f>SUM(R78:R80)</f>
        <v>100000</v>
      </c>
      <c r="S82" s="74">
        <f>R82/R84</f>
        <v>0.10214494162927311</v>
      </c>
      <c r="T82" s="67">
        <f t="shared" si="18"/>
        <v>1</v>
      </c>
      <c r="U82" s="3">
        <f>R82</f>
        <v>100000</v>
      </c>
      <c r="V82" s="74">
        <f>U82/U84</f>
        <v>0.10214494162927311</v>
      </c>
    </row>
    <row r="83" spans="1:22" s="1" customFormat="1">
      <c r="B83"/>
      <c r="D83" s="28"/>
      <c r="E83" s="29"/>
      <c r="F83" s="28"/>
      <c r="G83" s="29"/>
      <c r="H83" s="28"/>
      <c r="I83" s="29"/>
      <c r="J83" s="28"/>
      <c r="K83" s="29"/>
      <c r="L83" s="28"/>
      <c r="M83" s="29"/>
      <c r="N83" s="28"/>
      <c r="P83" s="28"/>
      <c r="Q83" s="29"/>
      <c r="T83" s="102"/>
    </row>
    <row r="84" spans="1:22" s="1" customFormat="1">
      <c r="B84" s="1" t="s">
        <v>447</v>
      </c>
      <c r="C84" s="57">
        <f>C47+C59+C70</f>
        <v>979001</v>
      </c>
      <c r="D84" s="31">
        <f>D47+D59+D70</f>
        <v>6016.8501960784306</v>
      </c>
      <c r="E84" s="30">
        <f>E47+E59+E70</f>
        <v>501.40418300653596</v>
      </c>
      <c r="F84" s="31">
        <f>F47+F59+F70</f>
        <v>4657.4809960784314</v>
      </c>
      <c r="G84" s="30">
        <f>F84/12</f>
        <v>388.12341633986927</v>
      </c>
      <c r="H84" s="31">
        <f>H47+H59+H70</f>
        <v>5079.3541960784314</v>
      </c>
      <c r="I84" s="30">
        <f>H84/12</f>
        <v>423.2795163398693</v>
      </c>
      <c r="J84" s="31">
        <f>J47+J59+J70</f>
        <v>5407.4777960784313</v>
      </c>
      <c r="K84" s="30">
        <f>J84/12</f>
        <v>450.62314967320259</v>
      </c>
      <c r="L84" s="31">
        <f>L47+L59+L70</f>
        <v>3860.609396078431</v>
      </c>
      <c r="M84" s="30">
        <f>L84/12</f>
        <v>321.71744967320257</v>
      </c>
      <c r="N84" s="31">
        <f>N47+N59+N70</f>
        <v>4282.482596078431</v>
      </c>
      <c r="O84" s="49">
        <f>N84/12</f>
        <v>356.8735496732026</v>
      </c>
      <c r="P84" s="31">
        <f>P47+P59+P70</f>
        <v>703.12200000000007</v>
      </c>
      <c r="Q84" s="31">
        <f>Q47+Q59+Q70</f>
        <v>843.74639999999999</v>
      </c>
      <c r="R84" s="3">
        <f>C84</f>
        <v>979001</v>
      </c>
      <c r="S84" s="103">
        <f>SUM(S47:S82)</f>
        <v>0.99999999999999989</v>
      </c>
      <c r="T84" s="102"/>
      <c r="U84" s="3">
        <f>SUM(U47:U82)</f>
        <v>979001</v>
      </c>
      <c r="V84" s="103">
        <f>SUM(V47:V82)</f>
        <v>1</v>
      </c>
    </row>
    <row r="85" spans="1:22" hidden="1">
      <c r="B85" s="1" t="s">
        <v>446</v>
      </c>
      <c r="C85" s="2">
        <v>1207371.8599999999</v>
      </c>
      <c r="D85" s="2">
        <v>7792.4704205882344</v>
      </c>
      <c r="E85" s="2">
        <v>649.37253504901958</v>
      </c>
      <c r="F85" s="2">
        <v>5700.6834265882353</v>
      </c>
      <c r="G85" s="2">
        <v>475.05695221568629</v>
      </c>
      <c r="H85" s="2">
        <v>6349.8587005882346</v>
      </c>
      <c r="I85" s="2">
        <v>529.15489171568618</v>
      </c>
      <c r="J85" s="2">
        <v>6854.7728025882352</v>
      </c>
      <c r="K85" s="2">
        <v>571.23106688235293</v>
      </c>
      <c r="L85" s="2">
        <v>4474.4634645882352</v>
      </c>
      <c r="M85" s="2">
        <v>372.87195538235295</v>
      </c>
      <c r="N85" s="2">
        <v>5123.6387385882354</v>
      </c>
      <c r="O85" s="2">
        <v>426.96989488235295</v>
      </c>
      <c r="P85" s="2">
        <v>1081.9587899999999</v>
      </c>
      <c r="Q85" s="2">
        <v>1298.3505479999999</v>
      </c>
      <c r="T85" s="2"/>
    </row>
    <row r="86" spans="1:22" hidden="1">
      <c r="B86" s="36" t="s">
        <v>445</v>
      </c>
      <c r="C86" s="73">
        <f t="shared" ref="C86:N86" si="23">C84-C85</f>
        <v>-228370.85999999987</v>
      </c>
      <c r="D86" s="73">
        <f t="shared" si="23"/>
        <v>-1775.6202245098038</v>
      </c>
      <c r="E86" s="73">
        <f t="shared" si="23"/>
        <v>-147.96835204248362</v>
      </c>
      <c r="F86" s="73">
        <f t="shared" si="23"/>
        <v>-1043.2024305098039</v>
      </c>
      <c r="G86" s="73">
        <f t="shared" si="23"/>
        <v>-86.933535875817029</v>
      </c>
      <c r="H86" s="73">
        <f t="shared" si="23"/>
        <v>-1270.5045045098032</v>
      </c>
      <c r="I86" s="73">
        <f t="shared" si="23"/>
        <v>-105.87537537581687</v>
      </c>
      <c r="J86" s="73">
        <f t="shared" si="23"/>
        <v>-1447.2950065098039</v>
      </c>
      <c r="K86" s="73">
        <f t="shared" si="23"/>
        <v>-120.60791720915034</v>
      </c>
      <c r="L86" s="73">
        <f t="shared" si="23"/>
        <v>-613.85406850980416</v>
      </c>
      <c r="M86" s="73">
        <f t="shared" si="23"/>
        <v>-51.154505709150385</v>
      </c>
      <c r="N86" s="73">
        <f t="shared" si="23"/>
        <v>-841.15614250980434</v>
      </c>
      <c r="O86" s="73"/>
      <c r="P86" s="73"/>
      <c r="Q86" s="73"/>
      <c r="T86" s="2"/>
    </row>
    <row r="87" spans="1:22">
      <c r="B87" s="36"/>
      <c r="C87" s="73"/>
      <c r="D87" s="73"/>
      <c r="E87" s="73"/>
      <c r="F87" s="73"/>
      <c r="G87" s="73"/>
      <c r="H87" s="73"/>
      <c r="I87" s="73"/>
      <c r="J87" s="73"/>
      <c r="K87" s="73"/>
      <c r="L87" s="73"/>
      <c r="M87" s="73"/>
      <c r="N87" s="73"/>
      <c r="O87" s="73"/>
      <c r="P87" s="73"/>
      <c r="Q87" s="73"/>
      <c r="T87" s="2"/>
    </row>
    <row r="88" spans="1:22">
      <c r="B88" s="111" t="s">
        <v>364</v>
      </c>
      <c r="C88" s="133">
        <v>372908</v>
      </c>
      <c r="D88" s="25">
        <f>C88*Start!$B$6</f>
        <v>2796.81</v>
      </c>
      <c r="E88" s="26"/>
      <c r="F88" s="25">
        <f>C88*Start!$C$15</f>
        <v>1715.3768</v>
      </c>
      <c r="G88" s="26"/>
      <c r="H88" s="25">
        <f>C88*Start!$C$17</f>
        <v>2050.9939999999997</v>
      </c>
      <c r="I88" s="26"/>
      <c r="J88" s="25">
        <f>C88*Start!$C$18</f>
        <v>2312.0295999999998</v>
      </c>
      <c r="K88" s="26"/>
      <c r="L88" s="25">
        <f>C88*Start!$C$19</f>
        <v>1081.4331999999999</v>
      </c>
      <c r="M88" s="26"/>
      <c r="N88" s="25">
        <f>C88*Start!$C$22</f>
        <v>1417.0504000000001</v>
      </c>
      <c r="O88" s="3"/>
      <c r="P88" s="25">
        <f>C88*Start!$C$20</f>
        <v>559.36199999999997</v>
      </c>
      <c r="Q88" s="26">
        <f>C88*Start!$C$21</f>
        <v>671.23439999999994</v>
      </c>
    </row>
    <row r="89" spans="1:22" ht="17" customHeight="1">
      <c r="B89" s="111" t="s">
        <v>365</v>
      </c>
      <c r="C89" s="132">
        <v>92948</v>
      </c>
      <c r="D89" s="25">
        <f>$C$89*Start!$B$6</f>
        <v>697.11</v>
      </c>
      <c r="E89" s="3"/>
      <c r="F89" s="25">
        <f>$C$89*Start!$C$15</f>
        <v>427.56079999999997</v>
      </c>
      <c r="G89" s="3"/>
      <c r="H89" s="25">
        <f>$C$89*Start!$C$17</f>
        <v>511.214</v>
      </c>
      <c r="I89" s="3"/>
      <c r="J89" s="25">
        <f>$C$89*Start!$C$18</f>
        <v>576.27760000000001</v>
      </c>
      <c r="K89" s="3"/>
      <c r="L89" s="25">
        <f>$C$89*Start!$C$19</f>
        <v>269.54919999999998</v>
      </c>
      <c r="M89" s="3"/>
      <c r="N89" s="25">
        <f>$C$89*Start!$C$22</f>
        <v>353.20240000000001</v>
      </c>
      <c r="O89" s="3"/>
      <c r="P89" s="25">
        <f>$C$89*Start!$C$20</f>
        <v>139.422</v>
      </c>
      <c r="Q89" s="25">
        <f>$C$89*Start!$C$21</f>
        <v>167.3064</v>
      </c>
    </row>
    <row r="90" spans="1:22" ht="17" customHeight="1">
      <c r="B90" s="111" t="s">
        <v>484</v>
      </c>
      <c r="C90" s="132">
        <v>108730</v>
      </c>
      <c r="D90" s="25">
        <f>$C$90*Start!$B$6</f>
        <v>815.47500000000002</v>
      </c>
      <c r="E90" s="3"/>
      <c r="F90" s="25">
        <f>$C$90*Start!$C$15</f>
        <v>500.15800000000002</v>
      </c>
      <c r="G90" s="3"/>
      <c r="H90" s="25">
        <f>$C$90*Start!$C$17</f>
        <v>598.01499999999999</v>
      </c>
      <c r="I90" s="3"/>
      <c r="J90" s="25">
        <f>$C$90*Start!$C$18</f>
        <v>674.12599999999998</v>
      </c>
      <c r="K90" s="3"/>
      <c r="L90" s="25">
        <f>$C$90*Start!$C$19</f>
        <v>315.31699999999995</v>
      </c>
      <c r="M90" s="3"/>
      <c r="N90" s="25">
        <f>$C$90*Start!$C$22</f>
        <v>413.17399999999998</v>
      </c>
      <c r="O90" s="3"/>
      <c r="P90" s="25">
        <f>$C$90*Start!$C$20</f>
        <v>163.095</v>
      </c>
      <c r="Q90" s="25">
        <f>$C$90*Start!$C$21</f>
        <v>195.714</v>
      </c>
    </row>
    <row r="91" spans="1:22" ht="17" customHeight="1">
      <c r="B91" s="111" t="s">
        <v>475</v>
      </c>
      <c r="C91" s="132">
        <v>109215</v>
      </c>
      <c r="D91" s="25">
        <f>$C$91*Start!$B$6</f>
        <v>819.11249999999995</v>
      </c>
      <c r="E91" s="3"/>
      <c r="F91" s="25">
        <f>$C$91*Start!$C$15</f>
        <v>502.38900000000001</v>
      </c>
      <c r="G91" s="3"/>
      <c r="H91" s="25">
        <f>$C$91*Start!$C$17</f>
        <v>600.6825</v>
      </c>
      <c r="I91" s="3"/>
      <c r="J91" s="25">
        <f>$C$91*Start!$C$18</f>
        <v>677.13299999999992</v>
      </c>
      <c r="K91" s="3"/>
      <c r="L91" s="25">
        <f>$C$91*Start!$C$19</f>
        <v>316.7235</v>
      </c>
      <c r="M91" s="3"/>
      <c r="N91" s="25">
        <f>$C$91*Start!$C$22</f>
        <v>415.017</v>
      </c>
      <c r="O91" s="3"/>
      <c r="P91" s="25">
        <f>$C$91*Start!$C$20</f>
        <v>163.82249999999999</v>
      </c>
      <c r="Q91" s="25">
        <f>$C$91*Start!$C$21</f>
        <v>196.58699999999999</v>
      </c>
    </row>
    <row r="92" spans="1:22" ht="17" customHeight="1">
      <c r="B92" s="1"/>
      <c r="C92" s="2"/>
      <c r="D92" s="25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</row>
    <row r="93" spans="1:22" ht="17" customHeight="1">
      <c r="B93" s="1"/>
      <c r="C93" s="2"/>
      <c r="D93" s="25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</row>
    <row r="94" spans="1:22" ht="17" hidden="1" customHeight="1">
      <c r="B94" s="1"/>
      <c r="C94" s="2"/>
      <c r="D94" s="25"/>
      <c r="E94" s="3"/>
      <c r="F94">
        <f>Start!D15</f>
        <v>151</v>
      </c>
      <c r="G94" s="3"/>
      <c r="H94">
        <f>Start!D17</f>
        <v>12</v>
      </c>
      <c r="I94" s="3"/>
      <c r="J94">
        <f>Start!D18</f>
        <v>25</v>
      </c>
      <c r="K94" s="3"/>
      <c r="L94">
        <f>Start!D19</f>
        <v>25</v>
      </c>
      <c r="M94" s="3"/>
      <c r="N94">
        <f>Start!D22</f>
        <v>1</v>
      </c>
      <c r="O94" s="3"/>
      <c r="P94">
        <f>Start!D20</f>
        <v>3</v>
      </c>
      <c r="Q94">
        <f>Start!D21</f>
        <v>2</v>
      </c>
    </row>
    <row r="95" spans="1:22" hidden="1">
      <c r="B95" s="1" t="s">
        <v>289</v>
      </c>
      <c r="C95">
        <f>SUM(D95:Q95)</f>
        <v>209</v>
      </c>
      <c r="D95">
        <f>Start!D24</f>
        <v>10</v>
      </c>
      <c r="F95">
        <f>F94-D95</f>
        <v>141</v>
      </c>
      <c r="H95">
        <f>H94</f>
        <v>12</v>
      </c>
      <c r="J95">
        <f>J94</f>
        <v>25</v>
      </c>
      <c r="L95">
        <f>Start!D19-D95</f>
        <v>15</v>
      </c>
      <c r="N95">
        <f>N94</f>
        <v>1</v>
      </c>
      <c r="P95">
        <f>P94</f>
        <v>3</v>
      </c>
      <c r="Q95">
        <f>Q94</f>
        <v>2</v>
      </c>
    </row>
    <row r="96" spans="1:22" hidden="1">
      <c r="B96" s="1" t="s">
        <v>328</v>
      </c>
      <c r="C96">
        <f>P95+Q95</f>
        <v>5</v>
      </c>
      <c r="F96" s="2"/>
    </row>
    <row r="97" spans="1:17" hidden="1">
      <c r="B97" s="1" t="s">
        <v>329</v>
      </c>
      <c r="C97">
        <f>C95-C96</f>
        <v>204</v>
      </c>
    </row>
    <row r="98" spans="1:17" hidden="1">
      <c r="B98" s="1"/>
    </row>
    <row r="99" spans="1:17" hidden="1">
      <c r="B99" s="55" t="s">
        <v>319</v>
      </c>
    </row>
    <row r="100" spans="1:17" hidden="1">
      <c r="A100" t="s">
        <v>268</v>
      </c>
      <c r="B100" s="1" t="s">
        <v>317</v>
      </c>
      <c r="C100" s="130">
        <f>SUM(D100:Q100)</f>
        <v>468748</v>
      </c>
      <c r="D100" s="2">
        <f>D47*D95</f>
        <v>35156.1</v>
      </c>
      <c r="F100" s="2">
        <f>F47*F95</f>
        <v>304029.95280000003</v>
      </c>
      <c r="H100" s="2">
        <f>H47*H94</f>
        <v>30937.368000000002</v>
      </c>
      <c r="J100" s="2">
        <f>J47*J94</f>
        <v>72655.94</v>
      </c>
      <c r="L100" s="2">
        <f>L95*L47</f>
        <v>20390.537999999997</v>
      </c>
      <c r="N100" s="2">
        <f>N47*N94</f>
        <v>1781.2424000000001</v>
      </c>
      <c r="P100" s="2">
        <f>P47*P94</f>
        <v>2109.366</v>
      </c>
      <c r="Q100" s="2">
        <f>Q47*Q94</f>
        <v>1687.4928</v>
      </c>
    </row>
    <row r="101" spans="1:17" hidden="1">
      <c r="A101" t="s">
        <v>276</v>
      </c>
      <c r="B101" s="1" t="s">
        <v>300</v>
      </c>
      <c r="C101" s="130">
        <f>SUM(D101:Q101)</f>
        <v>141098</v>
      </c>
      <c r="D101" s="2">
        <f>D95*D59</f>
        <v>6916.5686274509799</v>
      </c>
      <c r="F101" s="2">
        <f>F95*F59</f>
        <v>97523.617647058825</v>
      </c>
      <c r="H101" s="2">
        <f>H94*H59</f>
        <v>8299.8823529411766</v>
      </c>
      <c r="J101" s="2">
        <f>J94*J59</f>
        <v>17291.421568627451</v>
      </c>
      <c r="L101" s="2">
        <f>L95*L59</f>
        <v>10374.85294117647</v>
      </c>
      <c r="N101" s="2">
        <f>N94*N59</f>
        <v>691.65686274509801</v>
      </c>
      <c r="P101" s="2">
        <f>P94*P59</f>
        <v>0</v>
      </c>
      <c r="Q101" s="2">
        <f>Q94*Q59</f>
        <v>0</v>
      </c>
    </row>
    <row r="102" spans="1:17" hidden="1">
      <c r="A102" t="s">
        <v>277</v>
      </c>
      <c r="B102" s="1" t="s">
        <v>301</v>
      </c>
      <c r="C102" s="130">
        <f>SUM(D102:Q102)</f>
        <v>369154.99999999994</v>
      </c>
      <c r="D102" s="2">
        <f>D70*D95</f>
        <v>18095.833333333332</v>
      </c>
      <c r="E102" s="3"/>
      <c r="F102" s="2">
        <f>F70*F95</f>
        <v>255151.25</v>
      </c>
      <c r="G102" s="3"/>
      <c r="H102" s="2">
        <f>H70*H94</f>
        <v>21715</v>
      </c>
      <c r="I102" s="3"/>
      <c r="J102" s="2">
        <f>J70*J94</f>
        <v>45239.583333333328</v>
      </c>
      <c r="K102" s="3"/>
      <c r="L102" s="2">
        <f>L70*L95</f>
        <v>27143.75</v>
      </c>
      <c r="N102" s="2">
        <f>N70*N94</f>
        <v>1809.5833333333333</v>
      </c>
      <c r="P102" s="2">
        <f>P70*P94</f>
        <v>0</v>
      </c>
      <c r="Q102" s="2">
        <f>Q70*Q94</f>
        <v>0</v>
      </c>
    </row>
    <row r="103" spans="1:17" hidden="1">
      <c r="B103" s="1" t="s">
        <v>257</v>
      </c>
      <c r="C103" s="134">
        <f>SUM(C100:C102)</f>
        <v>979001</v>
      </c>
      <c r="D103" s="3"/>
      <c r="E103" s="3"/>
      <c r="F103" s="3"/>
      <c r="G103" s="3"/>
      <c r="H103" s="2"/>
      <c r="I103" s="3"/>
      <c r="J103" s="2"/>
      <c r="K103" s="3"/>
      <c r="L103" s="2"/>
      <c r="N103" s="2"/>
      <c r="P103" s="2"/>
      <c r="Q103" s="2"/>
    </row>
    <row r="104" spans="1:17" hidden="1">
      <c r="C104" s="130"/>
      <c r="D104" s="3"/>
    </row>
    <row r="105" spans="1:17" hidden="1">
      <c r="C105" s="130"/>
    </row>
    <row r="106" spans="1:17" hidden="1">
      <c r="B106" s="111" t="s">
        <v>426</v>
      </c>
      <c r="C106" s="132">
        <f>SUM(D106:Q106)</f>
        <v>372908</v>
      </c>
      <c r="D106" s="2">
        <f>D88*D95</f>
        <v>27968.1</v>
      </c>
      <c r="F106" s="2">
        <f>F88*F95</f>
        <v>241868.12880000001</v>
      </c>
      <c r="H106" s="2">
        <f>H88*H95</f>
        <v>24611.927999999996</v>
      </c>
      <c r="J106" s="2">
        <f>J88*J95</f>
        <v>57800.74</v>
      </c>
      <c r="L106" s="2">
        <f>L88*L95</f>
        <v>16221.498</v>
      </c>
      <c r="N106" s="2">
        <f>N88*N95</f>
        <v>1417.0504000000001</v>
      </c>
      <c r="P106" s="2">
        <f>P88*P95</f>
        <v>1678.0859999999998</v>
      </c>
      <c r="Q106" s="2">
        <f>Q88*Q95</f>
        <v>1342.4687999999999</v>
      </c>
    </row>
    <row r="107" spans="1:17" hidden="1">
      <c r="B107" s="111" t="s">
        <v>427</v>
      </c>
      <c r="C107" s="132">
        <f>SUM(D107:Q107)</f>
        <v>92948</v>
      </c>
      <c r="D107" s="3">
        <f>D95*D89</f>
        <v>6971.1</v>
      </c>
      <c r="F107" s="3">
        <f>F95*F89</f>
        <v>60286.072799999994</v>
      </c>
      <c r="H107" s="3">
        <f>H95*H89</f>
        <v>6134.5680000000002</v>
      </c>
      <c r="J107" s="3">
        <f>J95*J89</f>
        <v>14406.94</v>
      </c>
      <c r="L107" s="3">
        <f>L95*L89</f>
        <v>4043.2379999999998</v>
      </c>
      <c r="N107" s="3">
        <f>N95*N89</f>
        <v>353.20240000000001</v>
      </c>
      <c r="P107" s="3">
        <f>P95*P89</f>
        <v>418.26599999999996</v>
      </c>
      <c r="Q107" s="3">
        <f>Q95*Q89</f>
        <v>334.61279999999999</v>
      </c>
    </row>
    <row r="108" spans="1:17" hidden="1">
      <c r="B108" s="111" t="s">
        <v>474</v>
      </c>
      <c r="C108" s="132">
        <f>SUM(D108:Q108)</f>
        <v>108730.00000000001</v>
      </c>
      <c r="D108" s="3">
        <f>D90*D95</f>
        <v>8154.75</v>
      </c>
      <c r="F108" s="3">
        <f>F90*F95</f>
        <v>70522.278000000006</v>
      </c>
      <c r="H108" s="3">
        <f>H90*H95</f>
        <v>7176.18</v>
      </c>
      <c r="J108" s="3">
        <f>J90*J95</f>
        <v>16853.149999999998</v>
      </c>
      <c r="L108" s="3">
        <f>L90*L95</f>
        <v>4729.7549999999992</v>
      </c>
      <c r="N108" s="3">
        <f>N90*N95</f>
        <v>413.17399999999998</v>
      </c>
      <c r="P108" s="3">
        <f>P90*P95</f>
        <v>489.28499999999997</v>
      </c>
      <c r="Q108" s="3">
        <f>Q90*Q95</f>
        <v>391.428</v>
      </c>
    </row>
    <row r="109" spans="1:17" hidden="1">
      <c r="A109" s="1"/>
      <c r="B109" s="111" t="s">
        <v>481</v>
      </c>
      <c r="C109" s="132">
        <f>SUM(D109:Q109)</f>
        <v>109215</v>
      </c>
      <c r="D109" s="3">
        <f>D91*D95</f>
        <v>8191.125</v>
      </c>
      <c r="F109" s="3">
        <f>F91*F95</f>
        <v>70836.849000000002</v>
      </c>
      <c r="H109" s="3">
        <f>H91*H95</f>
        <v>7208.1900000000005</v>
      </c>
      <c r="J109" s="3">
        <f>J91*J95</f>
        <v>16928.324999999997</v>
      </c>
      <c r="L109" s="3">
        <f>L91*L95</f>
        <v>4750.8525</v>
      </c>
      <c r="N109" s="3">
        <f>N91*N95</f>
        <v>415.017</v>
      </c>
      <c r="P109" s="3">
        <f>P91*P95</f>
        <v>491.46749999999997</v>
      </c>
      <c r="Q109" s="3">
        <f>Q91*Q95</f>
        <v>393.17399999999998</v>
      </c>
    </row>
    <row r="110" spans="1:17" hidden="1">
      <c r="A110" s="1"/>
      <c r="B110" s="8"/>
      <c r="C110" s="3"/>
      <c r="D110" s="3"/>
    </row>
    <row r="111" spans="1:17" hidden="1">
      <c r="A111" s="1"/>
      <c r="B111" s="8"/>
    </row>
    <row r="112" spans="1:17" hidden="1">
      <c r="B112" s="8"/>
      <c r="H112" s="8"/>
      <c r="I112" s="8"/>
    </row>
    <row r="113" spans="2:6" hidden="1"/>
    <row r="114" spans="2:6" hidden="1"/>
    <row r="115" spans="2:6" hidden="1"/>
    <row r="116" spans="2:6" hidden="1">
      <c r="C116" s="1" t="s">
        <v>476</v>
      </c>
      <c r="D116" s="1" t="s">
        <v>477</v>
      </c>
      <c r="E116" s="1" t="s">
        <v>477</v>
      </c>
      <c r="F116" s="1" t="s">
        <v>478</v>
      </c>
    </row>
    <row r="117" spans="2:6" hidden="1">
      <c r="B117" s="111" t="s">
        <v>475</v>
      </c>
      <c r="C117" s="131">
        <v>90260</v>
      </c>
      <c r="D117" s="100">
        <v>0.21</v>
      </c>
      <c r="E117" s="2">
        <f>C117*D117</f>
        <v>18954.599999999999</v>
      </c>
      <c r="F117" s="132">
        <f>E117+C117</f>
        <v>109214.6</v>
      </c>
    </row>
    <row r="118" spans="2:6" hidden="1"/>
    <row r="119" spans="2:6" hidden="1"/>
  </sheetData>
  <sheetProtection algorithmName="SHA-512" hashValue="cwFw8JqSDbVOssrpbU4U///H4Nj4WjrtPWmheTYJxoqJXKLz2bTqN2HoYx3zIPpVUosgLHIVXMzyHCMb1Uz2SQ==" saltValue="kqG10VIKJA7VNHBpprTw3Q==" spinCount="100000" sheet="1" objects="1" scenarios="1"/>
  <printOptions headings="1" gridLines="1"/>
  <pageMargins left="0.7" right="0.7" top="0.75" bottom="0.75" header="0.3" footer="0.3"/>
  <pageSetup paperSize="9" orientation="landscape" horizontalDpi="0" verticalDpi="0"/>
  <legacy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2D91600-0B05-EE4C-8A20-A28277919432}">
  <dimension ref="A1:AB77"/>
  <sheetViews>
    <sheetView zoomScale="120" zoomScaleNormal="120" workbookViewId="0">
      <pane xSplit="2" ySplit="1" topLeftCell="C61" activePane="bottomRight" state="frozen"/>
      <selection pane="topRight" activeCell="C1" sqref="C1"/>
      <selection pane="bottomLeft" activeCell="A2" sqref="A2"/>
      <selection pane="bottomRight" activeCell="C32" sqref="C32"/>
    </sheetView>
  </sheetViews>
  <sheetFormatPr baseColWidth="10" defaultRowHeight="16" outlineLevelCol="1"/>
  <cols>
    <col min="1" max="1" width="6.1640625" customWidth="1"/>
    <col min="2" max="2" width="52.33203125" customWidth="1"/>
    <col min="3" max="3" width="17.1640625" customWidth="1"/>
    <col min="4" max="4" width="13.83203125" customWidth="1" outlineLevel="1"/>
    <col min="5" max="5" width="13.1640625" customWidth="1" outlineLevel="1"/>
    <col min="6" max="6" width="13.5" customWidth="1" outlineLevel="1"/>
    <col min="7" max="7" width="13" customWidth="1" outlineLevel="1"/>
    <col min="8" max="8" width="2.5" customWidth="1"/>
    <col min="9" max="9" width="15.5" customWidth="1"/>
    <col min="10" max="11" width="10.83203125" hidden="1" customWidth="1" outlineLevel="1"/>
    <col min="12" max="12" width="2.5" customWidth="1" collapsed="1"/>
    <col min="13" max="13" width="15.83203125" customWidth="1"/>
    <col min="14" max="14" width="13.1640625" hidden="1" customWidth="1" outlineLevel="1"/>
    <col min="15" max="15" width="10.83203125" hidden="1" customWidth="1" outlineLevel="1"/>
    <col min="16" max="16" width="3" customWidth="1" collapsed="1"/>
    <col min="17" max="17" width="17" customWidth="1"/>
    <col min="18" max="18" width="12.6640625" hidden="1" customWidth="1" outlineLevel="1"/>
    <col min="19" max="19" width="10.83203125" hidden="1" customWidth="1" outlineLevel="1"/>
    <col min="20" max="20" width="2" customWidth="1" collapsed="1"/>
    <col min="21" max="21" width="13" customWidth="1"/>
    <col min="22" max="23" width="10.83203125" hidden="1" customWidth="1" outlineLevel="1"/>
    <col min="24" max="24" width="1.33203125" customWidth="1" collapsed="1"/>
    <col min="25" max="25" width="13.6640625" customWidth="1"/>
    <col min="26" max="27" width="10.83203125" hidden="1" customWidth="1" outlineLevel="1"/>
    <col min="28" max="28" width="10.83203125" collapsed="1"/>
  </cols>
  <sheetData>
    <row r="1" spans="1:27">
      <c r="C1" s="144">
        <v>2027</v>
      </c>
      <c r="D1" s="144"/>
      <c r="E1" s="144"/>
      <c r="F1" s="144"/>
      <c r="G1" s="144"/>
      <c r="I1" s="144">
        <v>2026</v>
      </c>
      <c r="J1" s="144"/>
      <c r="K1" s="144"/>
      <c r="M1" s="144">
        <v>2025</v>
      </c>
      <c r="N1" s="144"/>
      <c r="O1" s="144"/>
      <c r="Q1" s="144">
        <v>2024</v>
      </c>
      <c r="R1" s="144"/>
      <c r="S1" s="144"/>
      <c r="U1" s="144">
        <v>2023</v>
      </c>
      <c r="V1" s="144"/>
      <c r="W1" s="144"/>
      <c r="Y1" s="144">
        <v>2022</v>
      </c>
      <c r="Z1" s="144"/>
      <c r="AA1" s="144"/>
    </row>
    <row r="2" spans="1:27">
      <c r="A2" s="4" t="s">
        <v>268</v>
      </c>
      <c r="B2" s="5" t="s">
        <v>6</v>
      </c>
      <c r="C2" s="112">
        <v>2027</v>
      </c>
      <c r="D2" s="1" t="s">
        <v>464</v>
      </c>
      <c r="E2" s="1" t="s">
        <v>465</v>
      </c>
      <c r="F2" s="119" t="s">
        <v>466</v>
      </c>
      <c r="G2" s="119" t="s">
        <v>467</v>
      </c>
      <c r="I2" s="112">
        <v>2026</v>
      </c>
      <c r="J2" s="119" t="s">
        <v>466</v>
      </c>
      <c r="K2" s="119" t="s">
        <v>467</v>
      </c>
      <c r="M2" s="112">
        <v>2025</v>
      </c>
      <c r="N2" s="119" t="s">
        <v>466</v>
      </c>
      <c r="O2" s="119" t="s">
        <v>467</v>
      </c>
      <c r="Q2" s="112">
        <v>2024</v>
      </c>
      <c r="R2" s="119" t="s">
        <v>466</v>
      </c>
      <c r="S2" s="119" t="s">
        <v>467</v>
      </c>
      <c r="U2" s="112">
        <v>2023</v>
      </c>
      <c r="V2" s="119" t="s">
        <v>466</v>
      </c>
      <c r="W2" s="119" t="s">
        <v>467</v>
      </c>
      <c r="Y2" s="112">
        <v>2022</v>
      </c>
      <c r="Z2" s="119" t="s">
        <v>466</v>
      </c>
      <c r="AA2" s="119" t="s">
        <v>467</v>
      </c>
    </row>
    <row r="3" spans="1:27">
      <c r="B3" s="1" t="s">
        <v>450</v>
      </c>
    </row>
    <row r="4" spans="1:27">
      <c r="B4" t="str" cm="1">
        <f t="array" ref="B4:C4">'2027 Begroting posten'!B4:C4</f>
        <v>Premie opstalverzekering</v>
      </c>
      <c r="C4" s="127">
        <v>25570</v>
      </c>
      <c r="D4" s="2">
        <f>C4*Start!$C$15</f>
        <v>117.622</v>
      </c>
      <c r="E4" s="2">
        <f>D4/12</f>
        <v>9.8018333333333327</v>
      </c>
      <c r="I4" s="113">
        <v>24353</v>
      </c>
      <c r="M4" s="2">
        <v>21750</v>
      </c>
      <c r="Q4" s="2">
        <v>19550</v>
      </c>
      <c r="U4" s="2">
        <v>17000</v>
      </c>
      <c r="Y4" s="2">
        <v>16000</v>
      </c>
    </row>
    <row r="5" spans="1:27">
      <c r="B5" t="str" cm="1">
        <f t="array" ref="B5:C5">'2027 Begroting posten'!B5:C5</f>
        <v>Premie glasverzekering</v>
      </c>
      <c r="C5" s="2">
        <v>1997</v>
      </c>
      <c r="D5" s="2">
        <f>C5*Start!$C$15</f>
        <v>9.1861999999999995</v>
      </c>
      <c r="E5" s="2">
        <f t="shared" ref="E5:E10" si="0">D5/12</f>
        <v>0.76551666666666662</v>
      </c>
      <c r="I5" s="113">
        <v>1902</v>
      </c>
      <c r="M5" s="2">
        <v>1980</v>
      </c>
      <c r="Q5" s="2">
        <v>1980</v>
      </c>
      <c r="U5" s="2">
        <v>1725</v>
      </c>
      <c r="Y5" s="2">
        <v>1850</v>
      </c>
    </row>
    <row r="6" spans="1:27">
      <c r="B6" t="str" cm="1">
        <f t="array" ref="B6:C6">'2027 Begroting posten'!B6:C6</f>
        <v>Premie wettelijke aansprakelijkheid</v>
      </c>
      <c r="C6" s="2">
        <v>3025</v>
      </c>
      <c r="D6" s="2">
        <f>C6*Start!$C$15</f>
        <v>13.914999999999999</v>
      </c>
      <c r="E6" s="2">
        <f t="shared" si="0"/>
        <v>1.1595833333333332</v>
      </c>
      <c r="I6" s="113">
        <v>2881</v>
      </c>
      <c r="M6" s="2">
        <v>2650</v>
      </c>
      <c r="Q6" s="2">
        <v>2500</v>
      </c>
      <c r="U6" s="2">
        <v>2200</v>
      </c>
      <c r="Y6" s="2">
        <v>2350</v>
      </c>
    </row>
    <row r="7" spans="1:27">
      <c r="B7" t="str" cm="1">
        <f t="array" ref="B7:C9">'2027 Begroting posten'!B7:C9</f>
        <v>Premie ongevallenverzekering</v>
      </c>
      <c r="C7" s="2">
        <v>40</v>
      </c>
      <c r="D7" s="2">
        <f>C7*Start!$C$15</f>
        <v>0.184</v>
      </c>
      <c r="E7" s="2">
        <f t="shared" si="0"/>
        <v>1.5333333333333332E-2</v>
      </c>
      <c r="I7" s="113">
        <v>40</v>
      </c>
    </row>
    <row r="8" spans="1:27">
      <c r="B8" t="str">
        <v>Premie bestuurdersaansprakelijkheid</v>
      </c>
      <c r="C8" s="2">
        <v>427</v>
      </c>
      <c r="D8" s="2">
        <f>C8*Start!$C$15</f>
        <v>1.9641999999999999</v>
      </c>
      <c r="E8" s="2">
        <f t="shared" si="0"/>
        <v>0.16368333333333332</v>
      </c>
      <c r="I8" s="113">
        <v>407</v>
      </c>
      <c r="M8" s="2">
        <v>450</v>
      </c>
      <c r="Q8" s="2">
        <v>350</v>
      </c>
      <c r="U8" s="2">
        <v>350</v>
      </c>
      <c r="Y8" s="2">
        <v>350</v>
      </c>
    </row>
    <row r="9" spans="1:27">
      <c r="B9" t="str">
        <v>Overeenkomst juridische dienstverlening</v>
      </c>
      <c r="C9" s="2">
        <v>2664</v>
      </c>
      <c r="D9" s="2">
        <f>C9*Start!$C$15</f>
        <v>12.2544</v>
      </c>
      <c r="E9" s="2">
        <f t="shared" si="0"/>
        <v>1.0212000000000001</v>
      </c>
      <c r="I9" s="113">
        <v>2537</v>
      </c>
      <c r="M9" s="2">
        <v>2350</v>
      </c>
      <c r="Q9" s="2">
        <v>2190</v>
      </c>
      <c r="U9" s="2">
        <v>2090</v>
      </c>
      <c r="Y9" s="2">
        <v>1780</v>
      </c>
    </row>
    <row r="10" spans="1:27">
      <c r="B10" s="1" t="s">
        <v>451</v>
      </c>
      <c r="C10" s="3">
        <f>SUM(C4:C9)</f>
        <v>33723</v>
      </c>
      <c r="D10" s="3">
        <f>C10*Start!$C$15</f>
        <v>155.1258</v>
      </c>
      <c r="E10" s="3">
        <f t="shared" si="0"/>
        <v>12.927149999999999</v>
      </c>
      <c r="F10" s="120">
        <f>C10/$C$50</f>
        <v>9.1452699404471344E-2</v>
      </c>
      <c r="G10" s="120"/>
      <c r="I10" s="3">
        <f>SUM(I4:I9)</f>
        <v>32120</v>
      </c>
      <c r="J10" s="100">
        <f>I10/I50</f>
        <v>9.115625407961131E-2</v>
      </c>
      <c r="M10" s="3">
        <f>SUM(M4:M9)</f>
        <v>29180</v>
      </c>
      <c r="N10" s="100">
        <f>M10/M50</f>
        <v>8.5520184287497872E-2</v>
      </c>
      <c r="Q10" s="3">
        <f>SUM(Q4:Q9)</f>
        <v>26570</v>
      </c>
      <c r="R10" s="100">
        <f>Q10/Q50</f>
        <v>8.3541329864151484E-2</v>
      </c>
      <c r="U10" s="3">
        <f>SUM(U4:U9)</f>
        <v>23365</v>
      </c>
      <c r="V10" s="100">
        <f>U10/U50</f>
        <v>8.0831777498917082E-2</v>
      </c>
      <c r="Y10" s="3">
        <f>SUM(Y4:Y9)</f>
        <v>22330</v>
      </c>
      <c r="Z10" s="100">
        <f>Y10/Y50</f>
        <v>8.0429731770626497E-2</v>
      </c>
    </row>
    <row r="11" spans="1:27">
      <c r="B11" s="1"/>
      <c r="C11" s="3"/>
    </row>
    <row r="12" spans="1:27">
      <c r="B12" s="1" t="s">
        <v>452</v>
      </c>
      <c r="C12" s="2"/>
    </row>
    <row r="13" spans="1:27">
      <c r="B13" t="str" cm="1">
        <f t="array" ref="B13:C30">'2027 Begroting posten'!B10:C27</f>
        <v>Dagelijks onderhoud</v>
      </c>
      <c r="C13" s="127">
        <v>8000</v>
      </c>
      <c r="D13" s="2">
        <f>C13*Start!$C$15</f>
        <v>36.799999999999997</v>
      </c>
      <c r="E13" s="2">
        <f t="shared" ref="E13:E31" si="1">D13/12</f>
        <v>3.0666666666666664</v>
      </c>
      <c r="I13" s="113">
        <v>8000</v>
      </c>
      <c r="M13" s="2">
        <v>7000</v>
      </c>
      <c r="Q13" s="2">
        <v>6000</v>
      </c>
      <c r="U13" s="2">
        <v>6000</v>
      </c>
      <c r="Y13" s="2">
        <v>6000</v>
      </c>
    </row>
    <row r="14" spans="1:27">
      <c r="B14" t="str">
        <v>Onderhoudscontract W-installatie stelpost (CV-installatie)</v>
      </c>
      <c r="C14" s="127">
        <v>8697</v>
      </c>
      <c r="D14" s="2">
        <f>C14*Start!$C$15</f>
        <v>40.0062</v>
      </c>
      <c r="E14" s="2">
        <f t="shared" si="1"/>
        <v>3.33385</v>
      </c>
      <c r="I14" s="113">
        <v>6315</v>
      </c>
      <c r="M14" s="2">
        <v>5781</v>
      </c>
      <c r="Q14" s="2">
        <v>4100</v>
      </c>
      <c r="U14" s="2">
        <v>4000</v>
      </c>
      <c r="Y14" s="2">
        <v>3600</v>
      </c>
    </row>
    <row r="15" spans="1:27">
      <c r="B15" t="str">
        <v>Onderhoud W-installatie stelpost (CV-Installatie)</v>
      </c>
      <c r="C15" s="2">
        <v>2000</v>
      </c>
      <c r="D15" s="2">
        <f>C15*Start!$C$15</f>
        <v>9.1999999999999993</v>
      </c>
      <c r="E15" s="2">
        <f t="shared" si="1"/>
        <v>0.76666666666666661</v>
      </c>
      <c r="I15" s="113">
        <v>2000</v>
      </c>
      <c r="M15" s="2">
        <v>2000</v>
      </c>
      <c r="Q15" s="2">
        <v>5000</v>
      </c>
      <c r="U15" s="2">
        <v>5000</v>
      </c>
      <c r="Y15" s="2">
        <v>5000</v>
      </c>
    </row>
    <row r="16" spans="1:27">
      <c r="B16" t="str">
        <v xml:space="preserve">Onderhoudscontract E-installatie stelpost (noodverlichting + NSA) </v>
      </c>
      <c r="C16" s="2">
        <v>0</v>
      </c>
      <c r="D16" s="2">
        <f>C16*Start!$C$15</f>
        <v>0</v>
      </c>
      <c r="E16" s="2">
        <f t="shared" si="1"/>
        <v>0</v>
      </c>
      <c r="I16" s="113"/>
      <c r="M16" s="2">
        <v>0</v>
      </c>
      <c r="Q16" s="2">
        <v>0</v>
      </c>
      <c r="U16" s="2">
        <v>0</v>
      </c>
      <c r="Y16" s="2">
        <v>1000</v>
      </c>
    </row>
    <row r="17" spans="2:26">
      <c r="B17" t="str">
        <v>Onderhoudskosten E-installatie stelpost</v>
      </c>
      <c r="C17" s="2">
        <v>1500</v>
      </c>
      <c r="D17" s="2">
        <f>C17*Start!$C$15</f>
        <v>6.8999999999999995</v>
      </c>
      <c r="E17" s="2">
        <f t="shared" si="1"/>
        <v>0.57499999999999996</v>
      </c>
      <c r="I17" s="113">
        <v>1500</v>
      </c>
      <c r="M17" s="2">
        <v>1500</v>
      </c>
      <c r="Q17" s="2">
        <v>1500</v>
      </c>
      <c r="U17" s="2">
        <v>1500</v>
      </c>
      <c r="Y17" s="2">
        <v>1500</v>
      </c>
    </row>
    <row r="18" spans="2:26">
      <c r="B18" t="str">
        <v>Onderhoud storingen hydrofoor</v>
      </c>
      <c r="C18" s="2">
        <v>500</v>
      </c>
      <c r="D18" s="2">
        <f>C18*Start!$C$15</f>
        <v>2.2999999999999998</v>
      </c>
      <c r="E18" s="2">
        <f t="shared" si="1"/>
        <v>0.19166666666666665</v>
      </c>
      <c r="I18" s="2">
        <v>500</v>
      </c>
      <c r="M18" s="2">
        <v>500</v>
      </c>
      <c r="Q18" s="2">
        <v>500</v>
      </c>
      <c r="U18" s="2">
        <v>500</v>
      </c>
      <c r="Y18" s="2">
        <v>500</v>
      </c>
    </row>
    <row r="19" spans="2:26">
      <c r="B19" t="str">
        <v>Onderhoudscontract hydrofoor</v>
      </c>
      <c r="C19" s="2">
        <v>627</v>
      </c>
      <c r="D19" s="2">
        <f>C19*Start!$C$15</f>
        <v>2.8841999999999999</v>
      </c>
      <c r="E19" s="2">
        <f t="shared" si="1"/>
        <v>0.24034999999999998</v>
      </c>
      <c r="I19" s="113">
        <v>597</v>
      </c>
      <c r="M19" s="2">
        <v>565</v>
      </c>
      <c r="Q19" s="2">
        <v>540</v>
      </c>
      <c r="U19" s="2">
        <v>520</v>
      </c>
      <c r="Y19" s="2">
        <v>520</v>
      </c>
    </row>
    <row r="20" spans="2:26">
      <c r="B20" t="str">
        <v>Onderhoudscontract elektrische deur</v>
      </c>
      <c r="C20" s="127">
        <v>4332</v>
      </c>
      <c r="D20" s="2">
        <f>C20*Start!$C$15</f>
        <v>19.927199999999999</v>
      </c>
      <c r="E20" s="2">
        <f t="shared" si="1"/>
        <v>1.6605999999999999</v>
      </c>
      <c r="I20" s="2">
        <v>4125</v>
      </c>
      <c r="M20" s="2">
        <v>3850</v>
      </c>
      <c r="Q20" s="2">
        <v>3400</v>
      </c>
      <c r="U20" s="2">
        <v>3275</v>
      </c>
      <c r="Y20" s="2">
        <v>2700</v>
      </c>
    </row>
    <row r="21" spans="2:26">
      <c r="B21" t="str">
        <v>Onderhoud / storingen elektrische deur</v>
      </c>
      <c r="C21" s="2">
        <v>1400</v>
      </c>
      <c r="D21" s="2">
        <f>C21*Start!$C$15</f>
        <v>6.4399999999999995</v>
      </c>
      <c r="E21" s="2">
        <f t="shared" si="1"/>
        <v>0.53666666666666663</v>
      </c>
      <c r="I21" s="2">
        <v>1400</v>
      </c>
      <c r="M21" s="2">
        <v>1400</v>
      </c>
      <c r="Q21" s="2">
        <v>1000</v>
      </c>
      <c r="U21" s="2">
        <v>1000</v>
      </c>
      <c r="Y21" s="2">
        <v>1000</v>
      </c>
    </row>
    <row r="22" spans="2:26">
      <c r="B22" t="str">
        <v>Onderhoud / storingen liftinstallatie</v>
      </c>
      <c r="C22" s="2">
        <v>1000</v>
      </c>
      <c r="D22" s="2">
        <f>C22*Start!$C$15</f>
        <v>4.5999999999999996</v>
      </c>
      <c r="E22" s="2">
        <f t="shared" si="1"/>
        <v>0.3833333333333333</v>
      </c>
      <c r="I22" s="2">
        <v>1000</v>
      </c>
      <c r="M22" s="2">
        <v>1000</v>
      </c>
      <c r="Q22" s="2">
        <v>1000</v>
      </c>
      <c r="U22" s="2">
        <v>1000</v>
      </c>
      <c r="Y22" s="2">
        <v>1000</v>
      </c>
    </row>
    <row r="23" spans="2:26">
      <c r="B23" t="str">
        <v>Onderhoudscontract liftinstallatie</v>
      </c>
      <c r="C23" s="127">
        <v>9000</v>
      </c>
      <c r="D23" s="2">
        <f>C23*Start!$C$15</f>
        <v>41.4</v>
      </c>
      <c r="E23" s="2">
        <f t="shared" si="1"/>
        <v>3.4499999999999997</v>
      </c>
      <c r="I23" s="2">
        <v>7140</v>
      </c>
      <c r="M23" s="2">
        <v>5500</v>
      </c>
      <c r="Q23" s="2">
        <v>6950</v>
      </c>
      <c r="U23" s="2">
        <v>6695</v>
      </c>
      <c r="Y23" s="2">
        <v>5850</v>
      </c>
    </row>
    <row r="24" spans="2:26">
      <c r="B24" t="str">
        <v>Onderhoud zonwering</v>
      </c>
      <c r="C24" s="2">
        <v>1000</v>
      </c>
      <c r="D24" s="2">
        <f>C24*Start!$C$15</f>
        <v>4.5999999999999996</v>
      </c>
      <c r="E24" s="2">
        <f t="shared" si="1"/>
        <v>0.3833333333333333</v>
      </c>
      <c r="I24" s="2">
        <v>1000</v>
      </c>
      <c r="M24" s="2">
        <v>1000</v>
      </c>
      <c r="Q24" s="2">
        <v>3500</v>
      </c>
      <c r="U24" s="2">
        <v>3500</v>
      </c>
      <c r="Y24" s="2">
        <v>3500</v>
      </c>
    </row>
    <row r="25" spans="2:26">
      <c r="B25" t="str">
        <v>Onderhoud dakveiligheid</v>
      </c>
      <c r="C25" s="2">
        <v>550</v>
      </c>
      <c r="D25" s="2">
        <f>C25*Start!$C$15</f>
        <v>2.5299999999999998</v>
      </c>
      <c r="E25" s="2">
        <f t="shared" si="1"/>
        <v>0.21083333333333332</v>
      </c>
      <c r="I25" s="2">
        <v>524</v>
      </c>
      <c r="M25" s="2">
        <v>500</v>
      </c>
      <c r="Q25" s="2">
        <v>500</v>
      </c>
      <c r="U25" s="2">
        <v>500</v>
      </c>
    </row>
    <row r="26" spans="2:26">
      <c r="B26" t="str">
        <v>Legionellabeheer</v>
      </c>
      <c r="C26" s="2">
        <v>2500</v>
      </c>
      <c r="D26" s="2">
        <f>C26*Start!$C$15</f>
        <v>11.5</v>
      </c>
      <c r="E26" s="2">
        <f t="shared" si="1"/>
        <v>0.95833333333333337</v>
      </c>
      <c r="I26" s="2">
        <v>2500</v>
      </c>
      <c r="M26" s="2">
        <v>3750</v>
      </c>
      <c r="Q26" s="2">
        <v>4250</v>
      </c>
      <c r="U26" s="2">
        <v>4250</v>
      </c>
      <c r="Y26" s="2">
        <v>4250</v>
      </c>
    </row>
    <row r="27" spans="2:26">
      <c r="B27" t="str">
        <v>Onderhoud bliksemafleidingsinstallatie</v>
      </c>
      <c r="C27" s="2">
        <v>300</v>
      </c>
      <c r="D27" s="2">
        <f>C27*Start!$C$15</f>
        <v>1.38</v>
      </c>
      <c r="E27" s="2">
        <f t="shared" si="1"/>
        <v>0.11499999999999999</v>
      </c>
      <c r="I27" s="2">
        <v>300</v>
      </c>
      <c r="M27" s="2">
        <v>300</v>
      </c>
      <c r="Q27" s="2">
        <v>300</v>
      </c>
      <c r="U27" s="2">
        <v>300</v>
      </c>
      <c r="Y27" s="2">
        <v>300</v>
      </c>
    </row>
    <row r="28" spans="2:26">
      <c r="B28" t="str">
        <v>kosten brandmeldinstallatie</v>
      </c>
      <c r="C28" s="2">
        <v>594</v>
      </c>
      <c r="D28" s="2">
        <f>C28*Start!$C$15</f>
        <v>2.7324000000000002</v>
      </c>
      <c r="E28" s="2">
        <f t="shared" si="1"/>
        <v>0.22770000000000001</v>
      </c>
      <c r="I28" s="2">
        <v>565</v>
      </c>
      <c r="M28" s="2">
        <v>0</v>
      </c>
      <c r="Q28" s="2">
        <v>1020</v>
      </c>
      <c r="U28" s="2">
        <v>980</v>
      </c>
      <c r="Y28" s="2">
        <v>500</v>
      </c>
    </row>
    <row r="29" spans="2:26">
      <c r="B29" t="str">
        <v xml:space="preserve">Onderhoudcontract droge blusleiding. </v>
      </c>
      <c r="C29" s="2">
        <v>1080</v>
      </c>
      <c r="D29" s="2">
        <f>C29*Start!$C$15</f>
        <v>4.968</v>
      </c>
      <c r="E29" s="2">
        <f t="shared" si="1"/>
        <v>0.41399999999999998</v>
      </c>
      <c r="I29" s="2">
        <v>1030</v>
      </c>
      <c r="M29" s="2">
        <v>1020</v>
      </c>
      <c r="Q29" s="2">
        <v>1000</v>
      </c>
      <c r="U29" s="2">
        <v>1000</v>
      </c>
      <c r="Y29" s="2">
        <v>1000</v>
      </c>
    </row>
    <row r="30" spans="2:26">
      <c r="B30" t="str">
        <v>Onderhoudscontract bliksemafleidingsinstallatie</v>
      </c>
      <c r="C30" s="2">
        <v>470</v>
      </c>
      <c r="D30" s="2">
        <f>C30*Start!$C$15</f>
        <v>2.1619999999999999</v>
      </c>
      <c r="E30" s="2">
        <f t="shared" si="1"/>
        <v>0.18016666666666667</v>
      </c>
      <c r="I30" s="2">
        <v>450</v>
      </c>
      <c r="M30" s="113">
        <v>470</v>
      </c>
      <c r="Q30" s="2">
        <v>470</v>
      </c>
      <c r="U30" s="2">
        <v>470</v>
      </c>
      <c r="Y30" s="2">
        <v>470</v>
      </c>
    </row>
    <row r="31" spans="2:26">
      <c r="B31" s="1" t="s">
        <v>459</v>
      </c>
      <c r="C31" s="3">
        <f>SUM(C13:C30)</f>
        <v>43550</v>
      </c>
      <c r="D31" s="3">
        <f>C31*Start!$C$15</f>
        <v>200.32999999999998</v>
      </c>
      <c r="E31" s="3">
        <f t="shared" si="1"/>
        <v>16.694166666666664</v>
      </c>
      <c r="F31" s="120">
        <f>C31/$C$50</f>
        <v>0.11810233547029407</v>
      </c>
      <c r="G31" s="120"/>
      <c r="I31" s="3">
        <f>SUM(I13:I30)</f>
        <v>38946</v>
      </c>
      <c r="J31" s="100">
        <f>I31/I50</f>
        <v>0.11052837706676656</v>
      </c>
      <c r="M31" s="3">
        <f>SUM(M13:M30)</f>
        <v>36136</v>
      </c>
      <c r="N31" s="100">
        <f>M31/M50</f>
        <v>0.10590669566185823</v>
      </c>
      <c r="Q31" s="3">
        <f>SUM(Q13:Q30)</f>
        <v>41030</v>
      </c>
      <c r="R31" s="100">
        <f>Q31/Q50</f>
        <v>0.12900642695995995</v>
      </c>
      <c r="U31" s="3">
        <f>SUM(U13:U30)</f>
        <v>40490</v>
      </c>
      <c r="V31" s="100">
        <f>U31/U50</f>
        <v>0.14007612544109363</v>
      </c>
      <c r="Y31" s="3">
        <f>SUM(Y13:Y30)</f>
        <v>38690</v>
      </c>
      <c r="Z31" s="100">
        <f>Y31/Y50</f>
        <v>0.1393563064131455</v>
      </c>
    </row>
    <row r="32" spans="2:26">
      <c r="C32" s="2"/>
    </row>
    <row r="33" spans="2:26">
      <c r="B33" s="1" t="s">
        <v>454</v>
      </c>
      <c r="C33" s="2"/>
    </row>
    <row r="34" spans="2:26">
      <c r="B34" t="str" cm="1">
        <f t="array" ref="B34:C39">'2027 Begroting posten'!B32:C37</f>
        <v>Verenigingskosten</v>
      </c>
      <c r="C34" s="2">
        <v>8000</v>
      </c>
      <c r="D34" s="2">
        <f>C34*Start!$C$15</f>
        <v>36.799999999999997</v>
      </c>
      <c r="E34" s="2">
        <f t="shared" ref="E34:E40" si="2">D34/12</f>
        <v>3.0666666666666664</v>
      </c>
      <c r="I34" s="2">
        <v>8000</v>
      </c>
      <c r="M34" s="123">
        <v>5000</v>
      </c>
      <c r="Q34" s="2">
        <v>5000</v>
      </c>
      <c r="U34" s="2">
        <v>5000</v>
      </c>
      <c r="Y34" s="2">
        <v>5000</v>
      </c>
    </row>
    <row r="35" spans="2:26">
      <c r="B35" t="str">
        <v>Accountantskosten</v>
      </c>
      <c r="C35" s="2">
        <v>0</v>
      </c>
      <c r="D35" s="2">
        <f>C35*Start!$C$15</f>
        <v>0</v>
      </c>
      <c r="E35" s="2">
        <f t="shared" si="2"/>
        <v>0</v>
      </c>
      <c r="I35" s="2">
        <v>0</v>
      </c>
      <c r="M35" s="123">
        <v>3000</v>
      </c>
      <c r="Q35" s="2">
        <v>4910</v>
      </c>
      <c r="U35" s="2">
        <v>4720</v>
      </c>
      <c r="Y35" s="2">
        <v>4000</v>
      </c>
    </row>
    <row r="36" spans="2:26">
      <c r="B36" t="str">
        <v>Declaratiekosten bestuursleden</v>
      </c>
      <c r="C36" s="2">
        <v>7200</v>
      </c>
      <c r="D36" s="2">
        <f>C36*Start!$C$15</f>
        <v>33.119999999999997</v>
      </c>
      <c r="E36" s="2">
        <f t="shared" si="2"/>
        <v>2.76</v>
      </c>
      <c r="I36" s="2">
        <v>7200</v>
      </c>
      <c r="M36" s="123">
        <v>5000</v>
      </c>
      <c r="Q36" s="2">
        <v>5000</v>
      </c>
      <c r="U36" s="2">
        <v>5000</v>
      </c>
      <c r="Y36" s="2">
        <v>5000</v>
      </c>
    </row>
    <row r="37" spans="2:26">
      <c r="B37" t="str">
        <v>Honorarium administratief beheerder</v>
      </c>
      <c r="C37" s="127">
        <v>52660</v>
      </c>
      <c r="D37" s="2">
        <f>C37*Start!$C$15</f>
        <v>242.23599999999999</v>
      </c>
      <c r="E37" s="2">
        <f t="shared" si="2"/>
        <v>20.186333333333334</v>
      </c>
      <c r="I37" s="2">
        <v>50153</v>
      </c>
      <c r="M37" s="123">
        <v>47962</v>
      </c>
      <c r="Q37" s="2">
        <v>46565</v>
      </c>
      <c r="U37" s="2">
        <v>44346.71</v>
      </c>
      <c r="Y37" s="2">
        <v>39433.65</v>
      </c>
    </row>
    <row r="38" spans="2:26">
      <c r="B38" t="str">
        <v>Honorarium technisch beheerder</v>
      </c>
      <c r="C38" s="127">
        <v>19365</v>
      </c>
      <c r="D38" s="2">
        <f>C38*Start!$C$15</f>
        <v>89.078999999999994</v>
      </c>
      <c r="E38" s="2">
        <f t="shared" si="2"/>
        <v>7.4232499999999995</v>
      </c>
      <c r="I38" s="2">
        <v>18443</v>
      </c>
      <c r="M38" s="123">
        <v>17428</v>
      </c>
      <c r="Q38" s="2">
        <v>16921.169999999998</v>
      </c>
      <c r="U38" s="2">
        <v>16115.4</v>
      </c>
      <c r="Y38" s="2">
        <v>14330</v>
      </c>
    </row>
    <row r="39" spans="2:26">
      <c r="B39" t="str">
        <v>Bankkosten</v>
      </c>
      <c r="C39" s="2">
        <v>1500</v>
      </c>
      <c r="D39" s="2">
        <f>C39*Start!$C$15</f>
        <v>6.8999999999999995</v>
      </c>
      <c r="E39" s="2">
        <f t="shared" si="2"/>
        <v>0.57499999999999996</v>
      </c>
      <c r="I39" s="2">
        <v>1500</v>
      </c>
      <c r="M39" s="123">
        <v>1500</v>
      </c>
      <c r="Q39" s="2">
        <v>1050</v>
      </c>
      <c r="U39" s="2">
        <v>1020</v>
      </c>
      <c r="Y39" s="2">
        <v>850</v>
      </c>
    </row>
    <row r="40" spans="2:26">
      <c r="B40" s="1" t="s">
        <v>455</v>
      </c>
      <c r="C40" s="3">
        <f>SUM(C34:C39)</f>
        <v>88725</v>
      </c>
      <c r="D40" s="3">
        <f>C40*Start!$C$15</f>
        <v>408.13499999999999</v>
      </c>
      <c r="E40" s="3">
        <f t="shared" si="2"/>
        <v>34.011249999999997</v>
      </c>
      <c r="F40" s="120">
        <f>C40/$C$50</f>
        <v>0.24061147450291256</v>
      </c>
      <c r="G40" s="120"/>
      <c r="I40" s="3">
        <f>SUM(I34:I39)</f>
        <v>85296</v>
      </c>
      <c r="J40" s="100">
        <f>I40/I50</f>
        <v>0.24206923561564528</v>
      </c>
      <c r="M40" s="3">
        <f>SUM(M34:M39)</f>
        <v>79890</v>
      </c>
      <c r="N40" s="100">
        <f>M40/M50</f>
        <v>0.23414007960000705</v>
      </c>
      <c r="Q40" s="3">
        <f>SUM(Q34:Q39)</f>
        <v>79446.17</v>
      </c>
      <c r="R40" s="100">
        <f>Q40/Q50</f>
        <v>0.24979445594329905</v>
      </c>
      <c r="U40" s="3">
        <f>SUM(U34:U39)</f>
        <v>76202.11</v>
      </c>
      <c r="Y40" s="3">
        <f>SUM(Y34:Y39)</f>
        <v>68613.649999999994</v>
      </c>
      <c r="Z40" s="100">
        <f>Y40/Y50</f>
        <v>0.24713736969564024</v>
      </c>
    </row>
    <row r="41" spans="2:26">
      <c r="C41" s="2"/>
    </row>
    <row r="42" spans="2:26">
      <c r="B42" s="1" t="s">
        <v>453</v>
      </c>
      <c r="C42" s="2"/>
    </row>
    <row r="43" spans="2:26">
      <c r="B43" t="str" cm="1">
        <f t="array" ref="B43:C43">'2027 Begroting posten'!B28:C28</f>
        <v>Reservering groot onderhoud (dotatie)</v>
      </c>
      <c r="C43" s="128">
        <v>231750</v>
      </c>
      <c r="D43" s="3">
        <f>C43*Start!$C$15</f>
        <v>1066.05</v>
      </c>
      <c r="E43" s="3">
        <f t="shared" ref="E43" si="3">D43/12</f>
        <v>88.837499999999991</v>
      </c>
      <c r="F43" s="120">
        <f>C43/$C$50</f>
        <v>0.62847798496534224</v>
      </c>
      <c r="G43" s="120"/>
      <c r="I43" s="3">
        <v>225000</v>
      </c>
      <c r="J43" s="100">
        <f>I43/I50</f>
        <v>0.63854785703339179</v>
      </c>
      <c r="M43" s="3">
        <v>225000</v>
      </c>
      <c r="N43" s="100">
        <f>M43/M50</f>
        <v>0.65942568419078207</v>
      </c>
      <c r="Q43" s="3">
        <v>200000</v>
      </c>
      <c r="R43" s="100">
        <f>Q43/Q50</f>
        <v>0.62883951723109888</v>
      </c>
      <c r="U43" s="3">
        <v>175000</v>
      </c>
      <c r="V43" s="100">
        <f>U43/U50</f>
        <v>0.60541669429961442</v>
      </c>
      <c r="Y43" s="3">
        <v>175000</v>
      </c>
      <c r="Z43" s="100">
        <f>Y43/Y50</f>
        <v>0.63032705149393808</v>
      </c>
    </row>
    <row r="45" spans="2:26">
      <c r="B45" s="1" t="s">
        <v>5</v>
      </c>
      <c r="C45" s="113"/>
    </row>
    <row r="46" spans="2:26">
      <c r="B46" t="str" cm="1">
        <f t="array" ref="B46:C47">'2027 Begroting posten'!B38:C39</f>
        <v>Opbrengst logeerkamers</v>
      </c>
      <c r="C46" s="113">
        <v>-8000</v>
      </c>
      <c r="D46" s="2">
        <f>C46*Start!$C$15</f>
        <v>-36.799999999999997</v>
      </c>
      <c r="E46" s="2">
        <f t="shared" ref="E46:E50" si="4">D46/12</f>
        <v>-3.0666666666666664</v>
      </c>
      <c r="I46" s="113">
        <v>-8000</v>
      </c>
      <c r="M46" s="113">
        <v>-8000</v>
      </c>
      <c r="Q46" s="113">
        <v>-8000</v>
      </c>
      <c r="U46" s="113">
        <v>-6000</v>
      </c>
      <c r="Y46" s="113">
        <v>-4000</v>
      </c>
    </row>
    <row r="47" spans="2:26">
      <c r="B47" t="str">
        <v>Opbrengst wasssen</v>
      </c>
      <c r="C47" s="113">
        <v>-3000</v>
      </c>
      <c r="D47" s="2">
        <f>C47*Start!$C$15</f>
        <v>-13.799999999999999</v>
      </c>
      <c r="E47" s="2">
        <f t="shared" si="4"/>
        <v>-1.1499999999999999</v>
      </c>
      <c r="I47" s="113">
        <v>-3000</v>
      </c>
      <c r="M47" s="113">
        <v>-3000</v>
      </c>
      <c r="Q47" s="113">
        <v>-3000</v>
      </c>
      <c r="U47" s="113">
        <v>-2000</v>
      </c>
      <c r="Y47" s="113">
        <v>-2000</v>
      </c>
    </row>
    <row r="48" spans="2:26">
      <c r="B48" t="str" cm="1">
        <f t="array" ref="B48:C48">'2027 Begroting posten'!B43:C43</f>
        <v>Antennevergoeding</v>
      </c>
      <c r="C48" s="113">
        <v>18000</v>
      </c>
      <c r="D48" s="2">
        <f>C48*Start!$C$15</f>
        <v>82.8</v>
      </c>
      <c r="E48" s="2">
        <f t="shared" si="4"/>
        <v>6.8999999999999995</v>
      </c>
      <c r="I48" s="113">
        <v>18000</v>
      </c>
      <c r="M48" s="113">
        <v>18000</v>
      </c>
      <c r="Q48" s="113">
        <v>18000</v>
      </c>
      <c r="U48" s="113">
        <v>18000</v>
      </c>
      <c r="Y48" s="113">
        <v>21000</v>
      </c>
    </row>
    <row r="49" spans="1:27">
      <c r="B49" s="1" t="s">
        <v>271</v>
      </c>
      <c r="C49" s="109">
        <f>(C46+C47)-C48</f>
        <v>-29000</v>
      </c>
      <c r="D49" s="2">
        <f>C49*Start!$C$15</f>
        <v>-133.4</v>
      </c>
      <c r="E49" s="2">
        <f t="shared" si="4"/>
        <v>-11.116666666666667</v>
      </c>
      <c r="F49" s="120">
        <f>C49/$C$50</f>
        <v>-7.8644494343020163E-2</v>
      </c>
      <c r="I49" s="109">
        <f>(I46+I47)-I48</f>
        <v>-29000</v>
      </c>
      <c r="J49" s="100">
        <f>I49/I50</f>
        <v>-8.2301723795414949E-2</v>
      </c>
      <c r="M49" s="109">
        <f>(M46+M47)-M48</f>
        <v>-29000</v>
      </c>
      <c r="N49" s="100">
        <f>M49/M50</f>
        <v>-8.4992643740145243E-2</v>
      </c>
      <c r="Q49" s="109">
        <f>(Q46+Q47)-Q48</f>
        <v>-29000</v>
      </c>
      <c r="R49" s="100">
        <f>Q49/Q50</f>
        <v>-9.1181729998509334E-2</v>
      </c>
      <c r="U49" s="109">
        <f>(U46+U47)-U48</f>
        <v>-26000</v>
      </c>
      <c r="V49" s="100">
        <f>U49/U50</f>
        <v>-8.9947623153085562E-2</v>
      </c>
      <c r="Y49" s="109">
        <f>(Y46+Y47)-Y48</f>
        <v>-27000</v>
      </c>
      <c r="Z49" s="100">
        <f>Y49/Y50</f>
        <v>-9.7250459373350445E-2</v>
      </c>
    </row>
    <row r="50" spans="1:27">
      <c r="A50" s="7" t="s">
        <v>268</v>
      </c>
      <c r="B50" s="115" t="s">
        <v>457</v>
      </c>
      <c r="C50" s="116">
        <f>C10+C31+C40+C43+C49</f>
        <v>368748</v>
      </c>
      <c r="D50" s="118">
        <f>C50*Start!$C$15</f>
        <v>1696.2408</v>
      </c>
      <c r="E50" s="118">
        <f t="shared" si="4"/>
        <v>141.35339999999999</v>
      </c>
      <c r="F50" s="100"/>
      <c r="G50" s="121">
        <f>C50/$C$75</f>
        <v>0.37665742935911201</v>
      </c>
      <c r="I50" s="116">
        <f>I10+I31+I40+I43+I49</f>
        <v>352362</v>
      </c>
      <c r="K50" s="100">
        <f>I50/I75</f>
        <v>0.2918421504373972</v>
      </c>
      <c r="M50" s="116">
        <f>M10+M31+M40+M43+M49</f>
        <v>341206</v>
      </c>
      <c r="O50" s="121">
        <f>M50/M75</f>
        <v>0.29531980010005382</v>
      </c>
      <c r="Q50" s="116">
        <f>Q10+Q31+Q40+Q43+Q49</f>
        <v>318046.17</v>
      </c>
      <c r="S50" s="121">
        <f>Q50/Q75</f>
        <v>0.30616094987836057</v>
      </c>
      <c r="U50" s="116">
        <f>U10+U31+U40+U43+U49</f>
        <v>289057.11</v>
      </c>
      <c r="W50" s="121">
        <f>U50/U75</f>
        <v>0.31271508166807044</v>
      </c>
      <c r="Y50" s="116">
        <f>Y10+Y31+Y40+Y43+Y49</f>
        <v>277633.65000000002</v>
      </c>
      <c r="AA50" s="121">
        <f>Y50/Y75</f>
        <v>0.31048041300073087</v>
      </c>
    </row>
    <row r="51" spans="1:27">
      <c r="B51" s="1"/>
      <c r="C51" s="117"/>
    </row>
    <row r="52" spans="1:27">
      <c r="A52" s="1" t="s">
        <v>281</v>
      </c>
      <c r="B52" s="1" t="s">
        <v>460</v>
      </c>
      <c r="C52" s="113"/>
    </row>
    <row r="53" spans="1:27">
      <c r="B53" s="1" t="s">
        <v>456</v>
      </c>
      <c r="C53" s="113"/>
    </row>
    <row r="54" spans="1:27">
      <c r="B54" t="str" cm="1">
        <f t="array" ref="B54:C54">'2027 Begroting posten'!B29:C29</f>
        <v>Energiekosten elektraverbruik (ALGEMENE RUIMTES)</v>
      </c>
      <c r="C54" s="129">
        <v>70000</v>
      </c>
      <c r="D54" s="2">
        <f>C54*Start!$C$15</f>
        <v>322</v>
      </c>
      <c r="E54" s="2">
        <f t="shared" ref="E54:E57" si="5">D54/12</f>
        <v>26.833333333333332</v>
      </c>
      <c r="I54" s="2">
        <v>70000</v>
      </c>
      <c r="M54" s="113">
        <v>93500</v>
      </c>
      <c r="Q54" s="2">
        <v>35000</v>
      </c>
      <c r="U54" s="124">
        <v>25000</v>
      </c>
      <c r="Y54" s="2">
        <v>30000</v>
      </c>
    </row>
    <row r="55" spans="1:27">
      <c r="B55" t="str" cm="1">
        <f t="array" ref="B55:C55">'2027 Begroting posten'!B30:C30</f>
        <v>Waterverbruik gemeenschappelijk en woningen</v>
      </c>
      <c r="C55" s="113">
        <v>30000</v>
      </c>
      <c r="D55" s="2">
        <f>C55*Start!$C$15</f>
        <v>138</v>
      </c>
      <c r="E55" s="2">
        <f t="shared" si="5"/>
        <v>11.5</v>
      </c>
      <c r="I55" s="2">
        <v>30000</v>
      </c>
      <c r="M55" s="113">
        <v>25000</v>
      </c>
      <c r="Q55" s="2">
        <v>25000</v>
      </c>
      <c r="U55" s="124">
        <v>25000</v>
      </c>
      <c r="Y55" s="2">
        <v>30000</v>
      </c>
    </row>
    <row r="56" spans="1:27">
      <c r="A56" t="s">
        <v>479</v>
      </c>
      <c r="B56" t="str" cm="1">
        <f t="array" ref="B56:C56">'2027 Begroting posten'!B31:C31</f>
        <v>Energiekosten gasverbruik (VIA VOORSCHOT)</v>
      </c>
      <c r="C56" s="113">
        <v>0</v>
      </c>
      <c r="D56" s="2">
        <f>C56*Start!$C$15</f>
        <v>0</v>
      </c>
      <c r="E56" s="2">
        <f t="shared" si="5"/>
        <v>0</v>
      </c>
      <c r="I56" s="2">
        <v>268943.86</v>
      </c>
      <c r="M56" s="113">
        <v>250000</v>
      </c>
      <c r="Q56" s="2">
        <v>225000</v>
      </c>
      <c r="U56" s="124">
        <v>170000</v>
      </c>
      <c r="Y56" s="2">
        <v>175000</v>
      </c>
    </row>
    <row r="57" spans="1:27">
      <c r="A57" s="7" t="s">
        <v>281</v>
      </c>
      <c r="B57" s="115" t="s">
        <v>458</v>
      </c>
      <c r="C57" s="116">
        <f>SUM(C54:C56)</f>
        <v>100000</v>
      </c>
      <c r="D57" s="114">
        <f>C57*Start!$C$15</f>
        <v>460</v>
      </c>
      <c r="E57" s="114">
        <f t="shared" si="5"/>
        <v>38.333333333333336</v>
      </c>
      <c r="F57" s="100"/>
      <c r="G57" s="121">
        <f>C57/$C$75</f>
        <v>0.10214494162927311</v>
      </c>
      <c r="I57" s="116">
        <f>SUM(I54:I56)</f>
        <v>368943.86</v>
      </c>
      <c r="K57" s="100">
        <f>I57/I75</f>
        <v>0.30557599710829769</v>
      </c>
      <c r="M57" s="116">
        <f>SUM(M54:M56)</f>
        <v>368500</v>
      </c>
      <c r="O57" s="121">
        <f>M57/M75</f>
        <v>0.31894323762439653</v>
      </c>
      <c r="Q57" s="116">
        <f>SUM(Q54:Q56)</f>
        <v>285000</v>
      </c>
      <c r="S57" s="121">
        <f>Q57/Q75</f>
        <v>0.27434969808104515</v>
      </c>
      <c r="U57" s="116">
        <f>SUM(U54:U56)</f>
        <v>220000</v>
      </c>
      <c r="W57" s="121">
        <f>U57/U75</f>
        <v>0.23800597040140442</v>
      </c>
      <c r="Y57" s="116">
        <f>SUM(Y54:Y56)</f>
        <v>235000</v>
      </c>
      <c r="AA57" s="121">
        <f>Y57/Y75</f>
        <v>0.26280278725281231</v>
      </c>
    </row>
    <row r="58" spans="1:27">
      <c r="C58" s="113"/>
    </row>
    <row r="59" spans="1:27">
      <c r="A59" s="1" t="s">
        <v>461</v>
      </c>
      <c r="B59" s="1" t="s">
        <v>462</v>
      </c>
      <c r="C59" s="109"/>
    </row>
    <row r="60" spans="1:27">
      <c r="B60" t="str" cm="1">
        <f t="array" ref="B60:C60">'2027 Begroting posten'!B52:C52</f>
        <v>Onderhoud groenvoorziening</v>
      </c>
      <c r="C60" s="113">
        <v>3628</v>
      </c>
      <c r="D60" s="2">
        <f>$C60/Start!$B$9</f>
        <v>17.784313725490197</v>
      </c>
      <c r="E60" s="2">
        <f t="shared" ref="E60:E75" si="6">D60/12</f>
        <v>1.4820261437908497</v>
      </c>
      <c r="I60" s="2">
        <v>3465</v>
      </c>
      <c r="M60" s="113">
        <v>3100</v>
      </c>
      <c r="Q60" s="2">
        <v>3050</v>
      </c>
      <c r="U60" s="2">
        <v>2950</v>
      </c>
      <c r="Y60" s="2">
        <v>2500</v>
      </c>
    </row>
    <row r="61" spans="1:27">
      <c r="B61" t="s">
        <v>275</v>
      </c>
      <c r="C61" s="113"/>
      <c r="D61" s="2"/>
      <c r="E61" s="2"/>
      <c r="I61" s="2"/>
      <c r="M61" s="113"/>
      <c r="Q61" s="2">
        <v>500</v>
      </c>
      <c r="U61" s="2">
        <v>500</v>
      </c>
      <c r="Y61" s="2">
        <v>500</v>
      </c>
    </row>
    <row r="62" spans="1:27">
      <c r="B62" t="str" cm="1">
        <f t="array" ref="B62:C62">'2027 Begroting posten'!B54:C54</f>
        <v>Glasbewassing</v>
      </c>
      <c r="C62" s="129">
        <v>4425</v>
      </c>
      <c r="D62" s="2">
        <f>$C62/Start!$B$9</f>
        <v>21.691176470588236</v>
      </c>
      <c r="E62" s="2">
        <f t="shared" si="6"/>
        <v>1.8075980392156863</v>
      </c>
      <c r="I62" s="2">
        <v>4214</v>
      </c>
      <c r="M62" s="113">
        <v>3750</v>
      </c>
      <c r="Q62" s="2">
        <v>3750</v>
      </c>
      <c r="U62" s="2">
        <v>3600</v>
      </c>
      <c r="Y62" s="2">
        <v>2900</v>
      </c>
    </row>
    <row r="63" spans="1:27">
      <c r="B63" t="str" cm="1">
        <f t="array" ref="B63:C63">'2027 Begroting posten'!B55:C55</f>
        <v>Kosten huismeester</v>
      </c>
      <c r="C63" s="129">
        <v>96695</v>
      </c>
      <c r="D63" s="2">
        <f>$C63/Start!$B$9</f>
        <v>473.99509803921569</v>
      </c>
      <c r="E63" s="2">
        <f t="shared" si="6"/>
        <v>39.499591503267972</v>
      </c>
      <c r="I63" s="2">
        <v>92090</v>
      </c>
      <c r="M63" s="113">
        <v>90000</v>
      </c>
      <c r="Q63" s="2">
        <v>86085</v>
      </c>
      <c r="U63" s="2">
        <v>81986.45</v>
      </c>
      <c r="Y63" s="2">
        <v>74970</v>
      </c>
    </row>
    <row r="64" spans="1:27">
      <c r="B64" t="str" cm="1">
        <f t="array" ref="B64:C64">'2027 Begroting posten'!B56:C56</f>
        <v>Bijdrage activiteitencommissie VvE Kortonjo</v>
      </c>
      <c r="C64" s="113">
        <v>2500</v>
      </c>
      <c r="D64" s="2">
        <f>$C64/Start!$B$9</f>
        <v>12.254901960784315</v>
      </c>
      <c r="E64" s="2">
        <f t="shared" si="6"/>
        <v>1.0212418300653596</v>
      </c>
      <c r="I64" s="2">
        <v>2500</v>
      </c>
      <c r="M64" s="113">
        <v>3000</v>
      </c>
      <c r="Q64" s="2">
        <v>3500</v>
      </c>
      <c r="U64" s="2">
        <v>3500</v>
      </c>
      <c r="Y64" s="2">
        <v>2000</v>
      </c>
    </row>
    <row r="65" spans="1:27">
      <c r="B65" t="str" cm="1">
        <f t="array" ref="B65:C65">'2027 Begroting posten'!B57:C57</f>
        <v>Schoonmaakcontract algemene ruimten</v>
      </c>
      <c r="C65" s="129">
        <v>33850</v>
      </c>
      <c r="D65" s="2">
        <f>$C65/Start!$B$9</f>
        <v>165.93137254901961</v>
      </c>
      <c r="E65" s="2">
        <f t="shared" si="6"/>
        <v>13.827614379084968</v>
      </c>
      <c r="I65" s="2">
        <v>32237</v>
      </c>
      <c r="M65" s="113">
        <v>30000</v>
      </c>
      <c r="Q65" s="2">
        <v>27030</v>
      </c>
      <c r="U65" s="2">
        <v>25745</v>
      </c>
      <c r="Y65" s="2">
        <v>24225</v>
      </c>
    </row>
    <row r="66" spans="1:27">
      <c r="B66" t="str" cm="1">
        <f t="array" ref="B66:C66">'2027 Begroting posten'!B63:C63</f>
        <v>Onderhoud alarmapparatuur (zorgalarmering) BHV</v>
      </c>
      <c r="C66" s="129">
        <v>7924</v>
      </c>
      <c r="D66" s="2">
        <f>$C66/Start!$B$9</f>
        <v>38.843137254901961</v>
      </c>
      <c r="E66" s="2">
        <f t="shared" si="6"/>
        <v>3.2369281045751634</v>
      </c>
      <c r="I66" s="2">
        <v>7546</v>
      </c>
      <c r="M66" s="113">
        <v>7100</v>
      </c>
      <c r="Q66" s="2">
        <v>6930</v>
      </c>
      <c r="U66" s="2">
        <v>6600</v>
      </c>
      <c r="Y66" s="2">
        <v>6000</v>
      </c>
    </row>
    <row r="67" spans="1:27">
      <c r="B67" t="str" cm="1">
        <f t="array" ref="B67:C67">'2027 Begroting posten'!B64:C64</f>
        <v>Calamiteitenzorg (zorgkastje)</v>
      </c>
      <c r="C67" s="129">
        <v>190335</v>
      </c>
      <c r="D67" s="2">
        <f>$C67/Start!$B$9</f>
        <v>933.01470588235293</v>
      </c>
      <c r="E67" s="2">
        <f t="shared" si="6"/>
        <v>77.751225490196077</v>
      </c>
      <c r="I67" s="2">
        <v>181272</v>
      </c>
      <c r="M67" s="113">
        <v>158668</v>
      </c>
      <c r="Q67" s="2">
        <v>156050</v>
      </c>
      <c r="U67" s="2">
        <v>148618</v>
      </c>
      <c r="Y67" s="2">
        <v>135108</v>
      </c>
    </row>
    <row r="68" spans="1:27">
      <c r="B68" t="s">
        <v>9</v>
      </c>
      <c r="C68" s="113"/>
      <c r="D68" s="2"/>
      <c r="E68" s="2"/>
      <c r="I68" s="2"/>
      <c r="M68" s="113"/>
      <c r="Q68" s="2"/>
      <c r="U68" s="2"/>
      <c r="Y68" s="2">
        <v>5000</v>
      </c>
    </row>
    <row r="69" spans="1:27">
      <c r="B69" t="str" cm="1">
        <f t="array" ref="B69:C69">'2027 Begroting posten'!B66:C66</f>
        <v>Bedrijfs Hulp Verlening (BHV kosten)</v>
      </c>
      <c r="C69" s="129">
        <v>18386</v>
      </c>
      <c r="D69" s="2">
        <f>$C69/Start!$B$9</f>
        <v>90.127450980392155</v>
      </c>
      <c r="E69" s="2">
        <f t="shared" si="6"/>
        <v>7.5106209150326793</v>
      </c>
      <c r="I69" s="2">
        <v>17511</v>
      </c>
      <c r="M69" s="113">
        <v>16358</v>
      </c>
      <c r="Q69" s="2">
        <v>16090</v>
      </c>
      <c r="U69" s="2">
        <v>15325</v>
      </c>
      <c r="Y69" s="2">
        <v>14000</v>
      </c>
    </row>
    <row r="70" spans="1:27">
      <c r="B70" t="str" cm="1">
        <f t="array" ref="B70:C70">'2027 Begroting posten'!B67:C67</f>
        <v>Medewerker Praethuys</v>
      </c>
      <c r="C70" s="129">
        <v>93186</v>
      </c>
      <c r="D70" s="2">
        <f>$C70/Start!$B$9</f>
        <v>456.79411764705884</v>
      </c>
      <c r="E70" s="2">
        <f t="shared" si="6"/>
        <v>38.066176470588239</v>
      </c>
      <c r="I70" s="2">
        <v>88732</v>
      </c>
      <c r="M70" s="113">
        <v>82889</v>
      </c>
      <c r="Q70" s="2">
        <v>81543</v>
      </c>
      <c r="U70" s="2">
        <v>77660</v>
      </c>
      <c r="Y70" s="2">
        <v>70000</v>
      </c>
    </row>
    <row r="71" spans="1:27">
      <c r="B71" t="str" cm="1">
        <f t="array" ref="B71:C71">'2027 Begroting posten'!B68:C68</f>
        <v>Schoonmaak tussengebouw</v>
      </c>
      <c r="C71" s="129">
        <v>17047</v>
      </c>
      <c r="D71" s="2">
        <f>$C71/Start!$B$9</f>
        <v>83.563725490196077</v>
      </c>
      <c r="E71" s="2">
        <f t="shared" si="6"/>
        <v>6.9636437908496731</v>
      </c>
      <c r="I71" s="2">
        <v>16235</v>
      </c>
      <c r="M71" s="113">
        <v>15462</v>
      </c>
      <c r="Q71" s="2">
        <v>14726</v>
      </c>
      <c r="U71" s="2">
        <v>14025</v>
      </c>
      <c r="Y71" s="2">
        <v>12750</v>
      </c>
    </row>
    <row r="72" spans="1:27">
      <c r="B72" t="str" cm="1">
        <f t="array" ref="B72:C72">'2027 Begroting posten'!B69:C69</f>
        <v>Kosten levering diensten tussengebouw</v>
      </c>
      <c r="C72" s="129">
        <v>42277</v>
      </c>
      <c r="D72" s="2">
        <f>$C72/Start!$B$9</f>
        <v>207.24019607843138</v>
      </c>
      <c r="E72" s="2">
        <f t="shared" si="6"/>
        <v>17.270016339869283</v>
      </c>
      <c r="I72" s="2">
        <v>40264</v>
      </c>
      <c r="M72" s="113">
        <v>35345</v>
      </c>
      <c r="Q72" s="2">
        <v>36520</v>
      </c>
      <c r="U72" s="2">
        <v>34780</v>
      </c>
      <c r="Y72" s="2">
        <v>31620</v>
      </c>
    </row>
    <row r="73" spans="1:27">
      <c r="A73" s="115" t="s">
        <v>461</v>
      </c>
      <c r="B73" s="115" t="s">
        <v>279</v>
      </c>
      <c r="C73" s="116">
        <f>SUM(C60:C72)</f>
        <v>510253</v>
      </c>
      <c r="D73" s="118">
        <f>$C73/Start!$B$9</f>
        <v>2501.2401960784314</v>
      </c>
      <c r="E73" s="118">
        <f t="shared" si="6"/>
        <v>208.43668300653596</v>
      </c>
      <c r="F73" s="100"/>
      <c r="G73" s="121">
        <f>C73/$C$75</f>
        <v>0.52119762901161493</v>
      </c>
      <c r="I73" s="116">
        <f>SUM(I60:I72)</f>
        <v>486066</v>
      </c>
      <c r="K73" s="100">
        <f>I73/I75</f>
        <v>0.40258185245430522</v>
      </c>
      <c r="M73" s="116">
        <f>SUM(M60:M72)</f>
        <v>445672</v>
      </c>
      <c r="O73" s="121">
        <f>M73/M75</f>
        <v>0.38573696227554966</v>
      </c>
      <c r="Q73" s="116">
        <f>SUM(Q60:Q72)</f>
        <v>435774</v>
      </c>
      <c r="S73" s="121">
        <f>Q73/Q75</f>
        <v>0.41948935204059429</v>
      </c>
      <c r="U73" s="116">
        <f>SUM(U60:U72)</f>
        <v>415289.45</v>
      </c>
      <c r="W73" s="121">
        <f>U73/U75</f>
        <v>0.44927894793052509</v>
      </c>
      <c r="Y73" s="116">
        <f>SUM(Y60:Y72)</f>
        <v>381573</v>
      </c>
      <c r="AA73" s="121">
        <f>Y73/Y75</f>
        <v>0.42671679974645682</v>
      </c>
    </row>
    <row r="74" spans="1:27">
      <c r="C74" s="113"/>
    </row>
    <row r="75" spans="1:27">
      <c r="B75" s="115" t="s">
        <v>463</v>
      </c>
      <c r="C75" s="116">
        <f>C50+C57+C73</f>
        <v>979001</v>
      </c>
      <c r="D75" s="118">
        <f>$C75/Start!$B$9</f>
        <v>4799.0245098039213</v>
      </c>
      <c r="E75" s="118">
        <f t="shared" si="6"/>
        <v>399.91870915032678</v>
      </c>
      <c r="G75" s="122">
        <f>G50+G57+G73</f>
        <v>1</v>
      </c>
      <c r="I75" s="116">
        <f>I50+I57+I73</f>
        <v>1207371.8599999999</v>
      </c>
      <c r="K75" s="122">
        <f>K50+K57+K73</f>
        <v>1</v>
      </c>
      <c r="M75" s="116">
        <f>M50+M57+M73</f>
        <v>1155378</v>
      </c>
      <c r="O75" s="122">
        <f>O50+O57+O73</f>
        <v>1</v>
      </c>
      <c r="Q75" s="116">
        <f>Q50+Q57+Q73</f>
        <v>1038820.1699999999</v>
      </c>
      <c r="S75" s="122">
        <f>S50+S57+S73</f>
        <v>1</v>
      </c>
      <c r="U75" s="116">
        <f>U50+U57+U73</f>
        <v>924346.56</v>
      </c>
      <c r="W75" s="122">
        <f>W50+W57+W73</f>
        <v>1</v>
      </c>
      <c r="Y75" s="116">
        <f>Y50+Y57+Y73</f>
        <v>894206.65</v>
      </c>
      <c r="AA75" s="122">
        <f>AA50+AA57+AA73</f>
        <v>1</v>
      </c>
    </row>
    <row r="77" spans="1:27">
      <c r="A77" t="s">
        <v>479</v>
      </c>
      <c r="B77" t="s">
        <v>480</v>
      </c>
    </row>
  </sheetData>
  <mergeCells count="6">
    <mergeCell ref="Y1:AA1"/>
    <mergeCell ref="C1:G1"/>
    <mergeCell ref="I1:K1"/>
    <mergeCell ref="M1:O1"/>
    <mergeCell ref="Q1:S1"/>
    <mergeCell ref="U1:W1"/>
  </mergeCells>
  <pageMargins left="0.7" right="0.7" top="0.75" bottom="0.75" header="0.3" footer="0.3"/>
  <pageSetup paperSize="9" orientation="portrait" horizontalDpi="0" verticalDpi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3E4BD53-A126-0843-B8A3-EB58C5C0C455}">
  <dimension ref="A3:G11"/>
  <sheetViews>
    <sheetView workbookViewId="0">
      <selection activeCell="C6" sqref="C6"/>
    </sheetView>
  </sheetViews>
  <sheetFormatPr baseColWidth="10" defaultRowHeight="16"/>
  <cols>
    <col min="1" max="1" width="4.83203125" bestFit="1" customWidth="1"/>
    <col min="2" max="7" width="12.83203125" bestFit="1" customWidth="1"/>
  </cols>
  <sheetData>
    <row r="3" spans="1:7">
      <c r="A3" s="125" t="s">
        <v>268</v>
      </c>
      <c r="B3" t="s">
        <v>471</v>
      </c>
      <c r="C3" t="s">
        <v>472</v>
      </c>
      <c r="D3" t="s">
        <v>470</v>
      </c>
      <c r="E3" t="s">
        <v>469</v>
      </c>
      <c r="F3" t="s">
        <v>473</v>
      </c>
      <c r="G3" t="s">
        <v>468</v>
      </c>
    </row>
    <row r="4" spans="1:7">
      <c r="A4" t="s">
        <v>268</v>
      </c>
      <c r="B4" s="126">
        <v>277633.65000000002</v>
      </c>
      <c r="C4" s="126">
        <v>289057.11</v>
      </c>
      <c r="D4" s="126">
        <v>318046.17</v>
      </c>
      <c r="E4" s="126">
        <v>341206</v>
      </c>
      <c r="F4" s="126">
        <v>352362</v>
      </c>
      <c r="G4" s="126">
        <v>368748</v>
      </c>
    </row>
    <row r="5" spans="1:7">
      <c r="A5" t="s">
        <v>461</v>
      </c>
      <c r="B5" s="126">
        <v>381573</v>
      </c>
      <c r="C5" s="126">
        <v>415289.45</v>
      </c>
      <c r="D5" s="126">
        <v>435774</v>
      </c>
      <c r="E5" s="126">
        <v>445672</v>
      </c>
      <c r="F5" s="126">
        <v>486066</v>
      </c>
      <c r="G5" s="126">
        <v>510253</v>
      </c>
    </row>
    <row r="6" spans="1:7">
      <c r="A6" t="s">
        <v>281</v>
      </c>
      <c r="B6" s="126">
        <v>235000</v>
      </c>
      <c r="C6" s="126">
        <v>220000</v>
      </c>
      <c r="D6" s="126">
        <v>285000</v>
      </c>
      <c r="E6" s="126">
        <v>368500</v>
      </c>
      <c r="F6" s="126">
        <v>368943.86</v>
      </c>
      <c r="G6" s="126">
        <v>100000</v>
      </c>
    </row>
    <row r="9" spans="1:7">
      <c r="B9" s="126"/>
      <c r="C9" s="126"/>
      <c r="D9" s="126"/>
      <c r="E9" s="126"/>
      <c r="F9" s="126"/>
      <c r="G9" s="126"/>
    </row>
    <row r="10" spans="1:7">
      <c r="B10" s="126">
        <f>SUM(B4:B6)</f>
        <v>894206.65</v>
      </c>
      <c r="C10" s="126">
        <f t="shared" ref="C10:G10" si="0">SUM(C4:C6)</f>
        <v>924346.56</v>
      </c>
      <c r="D10" s="126">
        <f t="shared" si="0"/>
        <v>1038820.1699999999</v>
      </c>
      <c r="E10" s="126">
        <f t="shared" si="0"/>
        <v>1155378</v>
      </c>
      <c r="F10" s="126">
        <f t="shared" si="0"/>
        <v>1207371.8599999999</v>
      </c>
      <c r="G10" s="126">
        <f t="shared" si="0"/>
        <v>979001</v>
      </c>
    </row>
    <row r="11" spans="1:7">
      <c r="B11" s="72"/>
      <c r="C11" s="72"/>
      <c r="D11" s="72"/>
      <c r="E11" s="72"/>
      <c r="F11" s="72"/>
      <c r="G11" s="72"/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FDF355-4076-9841-A446-6B470F109C0A}">
  <sheetPr codeName="Blad3"/>
  <dimension ref="A1:N229"/>
  <sheetViews>
    <sheetView workbookViewId="0">
      <pane ySplit="1" topLeftCell="A199" activePane="bottomLeft" state="frozen"/>
      <selection pane="bottomLeft" activeCell="C228" sqref="C228"/>
    </sheetView>
  </sheetViews>
  <sheetFormatPr baseColWidth="10" defaultColWidth="10.83203125" defaultRowHeight="16"/>
  <cols>
    <col min="2" max="2" width="51.33203125" style="13" bestFit="1" customWidth="1"/>
    <col min="3" max="4" width="16.1640625" style="13" customWidth="1"/>
    <col min="5" max="6" width="10.83203125" style="13"/>
    <col min="7" max="7" width="28.83203125" hidden="1" customWidth="1"/>
    <col min="8" max="8" width="4.6640625" bestFit="1" customWidth="1"/>
    <col min="9" max="9" width="17.6640625" bestFit="1" customWidth="1"/>
    <col min="12" max="12" width="14.5" bestFit="1" customWidth="1"/>
    <col min="13" max="13" width="15" customWidth="1"/>
  </cols>
  <sheetData>
    <row r="1" spans="1:14" ht="17">
      <c r="A1" t="s">
        <v>291</v>
      </c>
      <c r="B1" s="12" t="s">
        <v>21</v>
      </c>
      <c r="C1" s="12"/>
      <c r="D1" s="12"/>
      <c r="E1" s="12" t="s">
        <v>22</v>
      </c>
      <c r="F1" s="12" t="s">
        <v>23</v>
      </c>
      <c r="G1" s="9" t="s">
        <v>24</v>
      </c>
      <c r="H1" s="9" t="s">
        <v>248</v>
      </c>
      <c r="I1" s="9" t="s">
        <v>256</v>
      </c>
      <c r="J1" s="9" t="s">
        <v>249</v>
      </c>
      <c r="K1" s="9" t="s">
        <v>290</v>
      </c>
      <c r="L1" s="9" t="s">
        <v>292</v>
      </c>
      <c r="M1" s="9" t="s">
        <v>253</v>
      </c>
      <c r="N1" s="9" t="s">
        <v>297</v>
      </c>
    </row>
    <row r="2" spans="1:14" ht="17">
      <c r="A2">
        <v>1</v>
      </c>
      <c r="B2" s="16" t="s">
        <v>25</v>
      </c>
      <c r="C2" s="16">
        <v>1</v>
      </c>
      <c r="D2" s="16"/>
      <c r="E2" s="16" t="s">
        <v>26</v>
      </c>
      <c r="F2" s="16" t="s">
        <v>26</v>
      </c>
      <c r="G2" s="17" t="s">
        <v>27</v>
      </c>
      <c r="H2" s="17">
        <v>52</v>
      </c>
      <c r="I2" t="s">
        <v>247</v>
      </c>
      <c r="J2">
        <v>105</v>
      </c>
      <c r="K2" t="s">
        <v>268</v>
      </c>
      <c r="L2">
        <f>VLOOKUP(K2,Start!$A$15:$B$22,2)</f>
        <v>46</v>
      </c>
    </row>
    <row r="3" spans="1:14" ht="17">
      <c r="A3">
        <v>2</v>
      </c>
      <c r="B3" s="16" t="s">
        <v>25</v>
      </c>
      <c r="C3" s="16">
        <v>2</v>
      </c>
      <c r="D3" s="16"/>
      <c r="E3" s="16" t="s">
        <v>26</v>
      </c>
      <c r="F3" s="16" t="s">
        <v>26</v>
      </c>
      <c r="G3" s="17" t="s">
        <v>28</v>
      </c>
      <c r="H3" s="17">
        <v>28</v>
      </c>
      <c r="I3" t="s">
        <v>247</v>
      </c>
      <c r="J3">
        <v>57</v>
      </c>
      <c r="K3" t="s">
        <v>268</v>
      </c>
      <c r="L3">
        <f>VLOOKUP(K3,Start!$A$15:$B$22,2)</f>
        <v>46</v>
      </c>
    </row>
    <row r="4" spans="1:14" ht="17">
      <c r="A4">
        <v>3</v>
      </c>
      <c r="B4" s="16" t="s">
        <v>25</v>
      </c>
      <c r="C4" s="16">
        <v>3</v>
      </c>
      <c r="D4" s="16"/>
      <c r="E4" s="16" t="s">
        <v>26</v>
      </c>
      <c r="F4" s="16" t="s">
        <v>26</v>
      </c>
      <c r="G4" s="17" t="s">
        <v>29</v>
      </c>
      <c r="H4" s="17">
        <v>189</v>
      </c>
      <c r="I4" t="s">
        <v>247</v>
      </c>
      <c r="J4">
        <v>379</v>
      </c>
      <c r="K4" t="s">
        <v>268</v>
      </c>
      <c r="L4">
        <f>VLOOKUP(K4,Start!$A$15:$B$22,2)</f>
        <v>46</v>
      </c>
    </row>
    <row r="5" spans="1:14" ht="17">
      <c r="A5">
        <v>4</v>
      </c>
      <c r="B5" s="16" t="s">
        <v>25</v>
      </c>
      <c r="C5" s="16">
        <v>4</v>
      </c>
      <c r="D5" s="16"/>
      <c r="E5" s="16" t="s">
        <v>26</v>
      </c>
      <c r="F5" s="16" t="s">
        <v>26</v>
      </c>
      <c r="G5" s="17" t="s">
        <v>30</v>
      </c>
      <c r="H5" s="17">
        <v>61</v>
      </c>
      <c r="I5" t="s">
        <v>247</v>
      </c>
      <c r="J5">
        <v>123</v>
      </c>
      <c r="K5" t="s">
        <v>276</v>
      </c>
      <c r="L5">
        <f>VLOOKUP(K5,Start!$A$15:$B$22,2)</f>
        <v>55</v>
      </c>
    </row>
    <row r="6" spans="1:14" ht="17">
      <c r="A6">
        <v>5</v>
      </c>
      <c r="B6" s="16" t="s">
        <v>25</v>
      </c>
      <c r="C6" s="16">
        <v>5</v>
      </c>
      <c r="D6" s="16"/>
      <c r="E6" s="16" t="s">
        <v>26</v>
      </c>
      <c r="F6" s="16" t="s">
        <v>26</v>
      </c>
      <c r="G6" s="17" t="s">
        <v>31</v>
      </c>
      <c r="H6" s="17">
        <v>11</v>
      </c>
      <c r="I6" t="s">
        <v>247</v>
      </c>
      <c r="J6">
        <v>23</v>
      </c>
      <c r="K6" t="s">
        <v>268</v>
      </c>
      <c r="L6">
        <f>VLOOKUP(K6,Start!$A$15:$B$22,2)</f>
        <v>46</v>
      </c>
    </row>
    <row r="7" spans="1:14" ht="17">
      <c r="A7">
        <v>6</v>
      </c>
      <c r="B7" s="16" t="s">
        <v>25</v>
      </c>
      <c r="C7" s="16">
        <v>6</v>
      </c>
      <c r="D7" s="16"/>
      <c r="E7" s="16" t="s">
        <v>26</v>
      </c>
      <c r="F7" s="16" t="s">
        <v>26</v>
      </c>
      <c r="G7" s="17" t="s">
        <v>32</v>
      </c>
      <c r="H7" s="17">
        <v>204</v>
      </c>
      <c r="I7" t="s">
        <v>247</v>
      </c>
      <c r="J7">
        <v>409</v>
      </c>
      <c r="K7" t="s">
        <v>268</v>
      </c>
      <c r="L7">
        <f>VLOOKUP(K7,Start!$A$15:$B$22,2)</f>
        <v>46</v>
      </c>
    </row>
    <row r="8" spans="1:14" ht="17">
      <c r="A8">
        <v>7</v>
      </c>
      <c r="B8" s="16" t="s">
        <v>25</v>
      </c>
      <c r="C8" s="16">
        <v>7</v>
      </c>
      <c r="D8" s="16"/>
      <c r="E8" s="16" t="s">
        <v>26</v>
      </c>
      <c r="F8" s="16" t="s">
        <v>26</v>
      </c>
      <c r="G8" s="17" t="s">
        <v>33</v>
      </c>
      <c r="H8" s="17">
        <v>174</v>
      </c>
      <c r="I8" t="s">
        <v>247</v>
      </c>
      <c r="J8">
        <v>349</v>
      </c>
      <c r="K8" t="s">
        <v>268</v>
      </c>
      <c r="L8">
        <f>VLOOKUP(K8,Start!$A$15:$B$22,2)</f>
        <v>46</v>
      </c>
    </row>
    <row r="9" spans="1:14" ht="17">
      <c r="A9">
        <v>8</v>
      </c>
      <c r="B9" s="16" t="s">
        <v>25</v>
      </c>
      <c r="C9" s="54">
        <v>8</v>
      </c>
      <c r="D9" s="54">
        <v>1</v>
      </c>
      <c r="E9" s="16" t="s">
        <v>26</v>
      </c>
      <c r="F9" s="16" t="s">
        <v>26</v>
      </c>
      <c r="G9" s="17" t="s">
        <v>34</v>
      </c>
      <c r="H9" s="17">
        <v>46</v>
      </c>
      <c r="I9" t="s">
        <v>247</v>
      </c>
      <c r="J9" s="7">
        <v>93</v>
      </c>
      <c r="K9" s="7" t="s">
        <v>268</v>
      </c>
      <c r="L9">
        <f>VLOOKUP(K9,Start!$A$15:$B$22,2)</f>
        <v>46</v>
      </c>
      <c r="N9" t="s">
        <v>280</v>
      </c>
    </row>
    <row r="10" spans="1:14" ht="17">
      <c r="A10">
        <v>9</v>
      </c>
      <c r="B10" s="51"/>
      <c r="C10" s="54"/>
      <c r="D10" s="54"/>
      <c r="E10" s="16"/>
      <c r="F10" s="16"/>
      <c r="G10" s="17" t="s">
        <v>35</v>
      </c>
      <c r="H10" s="17">
        <v>47</v>
      </c>
      <c r="I10" t="s">
        <v>247</v>
      </c>
      <c r="J10" s="7">
        <v>95</v>
      </c>
      <c r="K10" s="7" t="s">
        <v>281</v>
      </c>
      <c r="L10">
        <f>VLOOKUP(K10,Start!$A$15:$B$22,2)</f>
        <v>29</v>
      </c>
    </row>
    <row r="11" spans="1:14" ht="17">
      <c r="A11">
        <v>10</v>
      </c>
      <c r="B11" s="16" t="s">
        <v>25</v>
      </c>
      <c r="C11" s="16">
        <v>9</v>
      </c>
      <c r="D11" s="16"/>
      <c r="E11" s="16" t="s">
        <v>26</v>
      </c>
      <c r="F11" s="16" t="s">
        <v>26</v>
      </c>
      <c r="G11" s="17" t="s">
        <v>36</v>
      </c>
      <c r="H11" s="17">
        <v>207</v>
      </c>
      <c r="I11" t="s">
        <v>247</v>
      </c>
      <c r="J11">
        <v>415</v>
      </c>
      <c r="K11" t="s">
        <v>268</v>
      </c>
      <c r="L11">
        <f>VLOOKUP(K11,Start!$A$15:$B$22,2)</f>
        <v>46</v>
      </c>
    </row>
    <row r="12" spans="1:14" ht="17">
      <c r="A12">
        <v>11</v>
      </c>
      <c r="B12" s="16" t="s">
        <v>25</v>
      </c>
      <c r="C12" s="16">
        <v>10</v>
      </c>
      <c r="D12" s="16"/>
      <c r="E12" s="16" t="s">
        <v>26</v>
      </c>
      <c r="F12" s="16" t="s">
        <v>26</v>
      </c>
      <c r="G12" s="17" t="s">
        <v>37</v>
      </c>
      <c r="H12" s="17">
        <v>172</v>
      </c>
      <c r="I12" t="s">
        <v>247</v>
      </c>
      <c r="J12">
        <v>345</v>
      </c>
      <c r="K12" t="s">
        <v>268</v>
      </c>
      <c r="L12">
        <f>VLOOKUP(K12,Start!$A$15:$B$22,2)</f>
        <v>46</v>
      </c>
    </row>
    <row r="13" spans="1:14" ht="17">
      <c r="A13">
        <v>12</v>
      </c>
      <c r="B13" s="16" t="s">
        <v>25</v>
      </c>
      <c r="C13" s="16">
        <v>11</v>
      </c>
      <c r="D13" s="16"/>
      <c r="E13" s="16" t="s">
        <v>26</v>
      </c>
      <c r="F13" s="16" t="s">
        <v>26</v>
      </c>
      <c r="G13" s="17" t="s">
        <v>38</v>
      </c>
      <c r="H13" s="17">
        <v>71</v>
      </c>
      <c r="I13" t="s">
        <v>247</v>
      </c>
      <c r="J13">
        <v>143</v>
      </c>
      <c r="K13" t="s">
        <v>268</v>
      </c>
      <c r="L13">
        <f>VLOOKUP(K13,Start!$A$15:$B$22,2)</f>
        <v>46</v>
      </c>
    </row>
    <row r="14" spans="1:14" ht="17">
      <c r="A14">
        <v>13</v>
      </c>
      <c r="B14" s="16" t="s">
        <v>25</v>
      </c>
      <c r="C14" s="16">
        <v>12</v>
      </c>
      <c r="D14" s="16"/>
      <c r="E14" s="16" t="s">
        <v>26</v>
      </c>
      <c r="F14" s="16" t="s">
        <v>26</v>
      </c>
      <c r="G14" s="17" t="s">
        <v>39</v>
      </c>
      <c r="H14" s="17">
        <v>103</v>
      </c>
      <c r="I14" t="s">
        <v>247</v>
      </c>
      <c r="J14">
        <v>207</v>
      </c>
      <c r="K14" t="s">
        <v>268</v>
      </c>
      <c r="L14">
        <f>VLOOKUP(K14,Start!$A$15:$B$22,2)</f>
        <v>46</v>
      </c>
    </row>
    <row r="15" spans="1:14" ht="17">
      <c r="A15">
        <v>14</v>
      </c>
      <c r="B15" s="16" t="s">
        <v>25</v>
      </c>
      <c r="C15" s="54">
        <v>13</v>
      </c>
      <c r="D15" s="54">
        <v>2</v>
      </c>
      <c r="E15" s="16" t="s">
        <v>26</v>
      </c>
      <c r="F15" s="16" t="s">
        <v>26</v>
      </c>
      <c r="G15" s="17" t="s">
        <v>40</v>
      </c>
      <c r="H15" s="17">
        <v>182</v>
      </c>
      <c r="I15" t="s">
        <v>247</v>
      </c>
      <c r="J15" s="7">
        <v>365</v>
      </c>
      <c r="K15" s="7" t="s">
        <v>268</v>
      </c>
      <c r="L15">
        <f>VLOOKUP(K15,Start!$A$15:$B$22,2)</f>
        <v>46</v>
      </c>
      <c r="N15" t="s">
        <v>280</v>
      </c>
    </row>
    <row r="16" spans="1:14" ht="17">
      <c r="A16">
        <v>15</v>
      </c>
      <c r="B16" s="51"/>
      <c r="C16" s="54"/>
      <c r="D16" s="54"/>
      <c r="E16" s="16"/>
      <c r="F16" s="16"/>
      <c r="G16" s="17" t="s">
        <v>41</v>
      </c>
      <c r="H16" s="17">
        <v>183</v>
      </c>
      <c r="I16" t="s">
        <v>247</v>
      </c>
      <c r="J16" s="7">
        <v>367</v>
      </c>
      <c r="K16" s="7" t="s">
        <v>281</v>
      </c>
      <c r="L16">
        <f>VLOOKUP(K16,Start!$A$15:$B$22,2)</f>
        <v>29</v>
      </c>
    </row>
    <row r="17" spans="1:12" ht="17">
      <c r="A17">
        <v>16</v>
      </c>
      <c r="B17" s="16" t="s">
        <v>25</v>
      </c>
      <c r="C17" s="16">
        <v>14</v>
      </c>
      <c r="D17" s="16"/>
      <c r="E17" s="16" t="s">
        <v>26</v>
      </c>
      <c r="F17" s="16" t="s">
        <v>26</v>
      </c>
      <c r="G17" s="17" t="s">
        <v>42</v>
      </c>
      <c r="H17" s="17">
        <v>152</v>
      </c>
      <c r="I17" t="s">
        <v>247</v>
      </c>
      <c r="J17">
        <v>305</v>
      </c>
      <c r="K17" t="s">
        <v>268</v>
      </c>
      <c r="L17">
        <f>VLOOKUP(K17,Start!$A$15:$B$22,2)</f>
        <v>46</v>
      </c>
    </row>
    <row r="18" spans="1:12" ht="17">
      <c r="A18">
        <v>17</v>
      </c>
      <c r="B18" s="16" t="s">
        <v>25</v>
      </c>
      <c r="C18" s="16">
        <v>15</v>
      </c>
      <c r="D18" s="16"/>
      <c r="E18" s="16" t="s">
        <v>26</v>
      </c>
      <c r="F18" s="16" t="s">
        <v>26</v>
      </c>
      <c r="G18" s="17" t="s">
        <v>43</v>
      </c>
      <c r="H18" s="17">
        <v>102</v>
      </c>
      <c r="I18" t="s">
        <v>247</v>
      </c>
      <c r="J18">
        <v>205</v>
      </c>
      <c r="K18" t="s">
        <v>268</v>
      </c>
      <c r="L18">
        <f>VLOOKUP(K18,Start!$A$15:$B$22,2)</f>
        <v>46</v>
      </c>
    </row>
    <row r="19" spans="1:12" ht="17">
      <c r="A19">
        <v>18</v>
      </c>
      <c r="B19" s="16" t="s">
        <v>25</v>
      </c>
      <c r="C19" s="16">
        <v>16</v>
      </c>
      <c r="D19" s="16"/>
      <c r="E19" s="16" t="s">
        <v>26</v>
      </c>
      <c r="F19" s="16" t="s">
        <v>26</v>
      </c>
      <c r="G19" s="17" t="s">
        <v>44</v>
      </c>
      <c r="H19" s="17">
        <v>88</v>
      </c>
      <c r="I19" t="s">
        <v>247</v>
      </c>
      <c r="J19">
        <v>177</v>
      </c>
      <c r="K19" t="s">
        <v>268</v>
      </c>
      <c r="L19">
        <f>VLOOKUP(K19,Start!$A$15:$B$22,2)</f>
        <v>46</v>
      </c>
    </row>
    <row r="20" spans="1:12" ht="17">
      <c r="A20">
        <v>19</v>
      </c>
      <c r="B20" s="16" t="s">
        <v>25</v>
      </c>
      <c r="C20" s="16">
        <v>17</v>
      </c>
      <c r="D20" s="16"/>
      <c r="E20" s="16" t="s">
        <v>26</v>
      </c>
      <c r="F20" s="16" t="s">
        <v>26</v>
      </c>
      <c r="G20" s="17" t="s">
        <v>45</v>
      </c>
      <c r="H20" s="17">
        <v>38</v>
      </c>
      <c r="I20" t="s">
        <v>247</v>
      </c>
      <c r="J20">
        <v>77</v>
      </c>
      <c r="K20" t="s">
        <v>268</v>
      </c>
      <c r="L20">
        <f>VLOOKUP(K20,Start!$A$15:$B$22,2)</f>
        <v>46</v>
      </c>
    </row>
    <row r="21" spans="1:12" ht="17">
      <c r="A21">
        <v>20</v>
      </c>
      <c r="B21" s="16" t="s">
        <v>25</v>
      </c>
      <c r="C21" s="16">
        <v>18</v>
      </c>
      <c r="D21" s="16"/>
      <c r="E21" s="16" t="s">
        <v>26</v>
      </c>
      <c r="F21" s="16" t="s">
        <v>26</v>
      </c>
      <c r="G21" s="17" t="s">
        <v>46</v>
      </c>
      <c r="H21" s="17">
        <v>77</v>
      </c>
      <c r="I21" t="s">
        <v>247</v>
      </c>
      <c r="J21">
        <v>155</v>
      </c>
      <c r="K21" t="s">
        <v>268</v>
      </c>
      <c r="L21">
        <f>VLOOKUP(K21,Start!$A$15:$B$22,2)</f>
        <v>46</v>
      </c>
    </row>
    <row r="22" spans="1:12" ht="17">
      <c r="A22">
        <v>21</v>
      </c>
      <c r="B22" s="16" t="s">
        <v>25</v>
      </c>
      <c r="C22" s="16">
        <v>19</v>
      </c>
      <c r="D22" s="16"/>
      <c r="E22" s="16" t="s">
        <v>26</v>
      </c>
      <c r="F22" s="16" t="s">
        <v>26</v>
      </c>
      <c r="G22" s="17" t="s">
        <v>47</v>
      </c>
      <c r="H22" s="17">
        <v>190</v>
      </c>
      <c r="I22" t="s">
        <v>247</v>
      </c>
      <c r="J22">
        <v>381</v>
      </c>
      <c r="K22" t="s">
        <v>268</v>
      </c>
      <c r="L22">
        <f>VLOOKUP(K22,Start!$A$15:$B$22,2)</f>
        <v>46</v>
      </c>
    </row>
    <row r="23" spans="1:12" ht="17">
      <c r="A23">
        <v>22</v>
      </c>
      <c r="B23" s="16" t="s">
        <v>25</v>
      </c>
      <c r="C23" s="16">
        <v>20</v>
      </c>
      <c r="D23" s="16"/>
      <c r="E23" s="16" t="s">
        <v>26</v>
      </c>
      <c r="F23" s="16" t="s">
        <v>26</v>
      </c>
      <c r="G23" s="17" t="s">
        <v>48</v>
      </c>
      <c r="H23" s="17">
        <v>45</v>
      </c>
      <c r="I23" t="s">
        <v>247</v>
      </c>
      <c r="J23">
        <v>91</v>
      </c>
      <c r="K23" t="s">
        <v>268</v>
      </c>
      <c r="L23">
        <f>VLOOKUP(K23,Start!$A$15:$B$22,2)</f>
        <v>46</v>
      </c>
    </row>
    <row r="24" spans="1:12" ht="17">
      <c r="A24">
        <v>23</v>
      </c>
      <c r="B24" s="16" t="s">
        <v>25</v>
      </c>
      <c r="C24" s="16">
        <v>21</v>
      </c>
      <c r="D24" s="16"/>
      <c r="E24" s="16" t="s">
        <v>26</v>
      </c>
      <c r="F24" s="16" t="s">
        <v>26</v>
      </c>
      <c r="G24" s="17" t="s">
        <v>49</v>
      </c>
      <c r="H24" s="17">
        <v>127</v>
      </c>
      <c r="I24" t="s">
        <v>247</v>
      </c>
      <c r="J24">
        <v>255</v>
      </c>
      <c r="K24" t="s">
        <v>268</v>
      </c>
      <c r="L24">
        <f>VLOOKUP(K24,Start!$A$15:$B$22,2)</f>
        <v>46</v>
      </c>
    </row>
    <row r="25" spans="1:12" ht="17">
      <c r="A25">
        <v>24</v>
      </c>
      <c r="B25" s="16" t="s">
        <v>25</v>
      </c>
      <c r="C25" s="16">
        <v>22</v>
      </c>
      <c r="D25" s="16"/>
      <c r="E25" s="16" t="s">
        <v>26</v>
      </c>
      <c r="F25" s="16" t="s">
        <v>26</v>
      </c>
      <c r="G25" s="17" t="s">
        <v>50</v>
      </c>
      <c r="H25" s="17">
        <v>151</v>
      </c>
      <c r="I25" t="s">
        <v>247</v>
      </c>
      <c r="J25">
        <v>303</v>
      </c>
      <c r="K25" t="s">
        <v>268</v>
      </c>
      <c r="L25">
        <f>VLOOKUP(K25,Start!$A$15:$B$22,2)</f>
        <v>46</v>
      </c>
    </row>
    <row r="26" spans="1:12" ht="17">
      <c r="A26">
        <v>25</v>
      </c>
      <c r="B26" s="16" t="s">
        <v>25</v>
      </c>
      <c r="C26" s="16">
        <v>23</v>
      </c>
      <c r="D26" s="16"/>
      <c r="E26" s="16" t="s">
        <v>26</v>
      </c>
      <c r="F26" s="16" t="s">
        <v>26</v>
      </c>
      <c r="G26" s="17" t="s">
        <v>51</v>
      </c>
      <c r="H26" s="17">
        <v>210</v>
      </c>
      <c r="I26" t="s">
        <v>247</v>
      </c>
      <c r="J26">
        <v>421</v>
      </c>
      <c r="K26" t="s">
        <v>277</v>
      </c>
      <c r="L26">
        <f>VLOOKUP(K26,Start!$A$15:$B$22,2)</f>
        <v>62</v>
      </c>
    </row>
    <row r="27" spans="1:12" ht="17">
      <c r="A27">
        <v>26</v>
      </c>
      <c r="B27" s="16" t="s">
        <v>25</v>
      </c>
      <c r="C27" s="16">
        <v>24</v>
      </c>
      <c r="D27" s="16"/>
      <c r="E27" s="16" t="s">
        <v>26</v>
      </c>
      <c r="F27" s="16" t="s">
        <v>26</v>
      </c>
      <c r="G27" s="17" t="s">
        <v>52</v>
      </c>
      <c r="H27" s="17">
        <v>74</v>
      </c>
      <c r="I27" t="s">
        <v>247</v>
      </c>
      <c r="J27">
        <v>149</v>
      </c>
      <c r="K27" t="s">
        <v>277</v>
      </c>
      <c r="L27">
        <f>VLOOKUP(K27,Start!$A$15:$B$22,2)</f>
        <v>62</v>
      </c>
    </row>
    <row r="28" spans="1:12" ht="17">
      <c r="A28">
        <v>27</v>
      </c>
      <c r="B28" s="16" t="s">
        <v>25</v>
      </c>
      <c r="C28" s="16">
        <v>25</v>
      </c>
      <c r="D28" s="16"/>
      <c r="E28" s="16" t="s">
        <v>26</v>
      </c>
      <c r="F28" s="16" t="s">
        <v>26</v>
      </c>
      <c r="G28" s="17" t="s">
        <v>53</v>
      </c>
      <c r="H28" s="17">
        <v>51</v>
      </c>
      <c r="I28" t="s">
        <v>247</v>
      </c>
      <c r="J28">
        <v>103</v>
      </c>
      <c r="K28" t="s">
        <v>268</v>
      </c>
      <c r="L28">
        <f>VLOOKUP(K28,Start!$A$15:$B$22,2)</f>
        <v>46</v>
      </c>
    </row>
    <row r="29" spans="1:12" ht="17">
      <c r="A29">
        <v>28</v>
      </c>
      <c r="B29" s="16" t="s">
        <v>25</v>
      </c>
      <c r="C29" s="16">
        <v>26</v>
      </c>
      <c r="D29" s="16"/>
      <c r="E29" s="16" t="s">
        <v>26</v>
      </c>
      <c r="F29" s="16" t="s">
        <v>26</v>
      </c>
      <c r="G29" s="17" t="s">
        <v>54</v>
      </c>
      <c r="H29" s="17">
        <v>205</v>
      </c>
      <c r="I29" t="s">
        <v>247</v>
      </c>
      <c r="J29">
        <v>411</v>
      </c>
      <c r="K29" t="s">
        <v>268</v>
      </c>
      <c r="L29">
        <f>VLOOKUP(K29,Start!$A$15:$B$22,2)</f>
        <v>46</v>
      </c>
    </row>
    <row r="30" spans="1:12" ht="17">
      <c r="A30">
        <v>29</v>
      </c>
      <c r="B30" s="16" t="s">
        <v>25</v>
      </c>
      <c r="C30" s="16">
        <v>27</v>
      </c>
      <c r="D30" s="16"/>
      <c r="E30" s="16" t="s">
        <v>26</v>
      </c>
      <c r="F30" s="16" t="s">
        <v>26</v>
      </c>
      <c r="G30" s="17" t="s">
        <v>55</v>
      </c>
      <c r="H30" s="17">
        <v>133</v>
      </c>
      <c r="I30" t="s">
        <v>247</v>
      </c>
      <c r="J30">
        <v>267</v>
      </c>
      <c r="K30" t="s">
        <v>277</v>
      </c>
      <c r="L30">
        <f>VLOOKUP(K30,Start!$A$15:$B$22,2)</f>
        <v>62</v>
      </c>
    </row>
    <row r="31" spans="1:12" ht="17">
      <c r="A31">
        <v>30</v>
      </c>
      <c r="B31" s="16" t="s">
        <v>25</v>
      </c>
      <c r="C31" s="16">
        <v>28</v>
      </c>
      <c r="D31" s="16"/>
      <c r="E31" s="16" t="s">
        <v>26</v>
      </c>
      <c r="F31" s="16" t="s">
        <v>26</v>
      </c>
      <c r="G31" s="17" t="s">
        <v>56</v>
      </c>
      <c r="H31" s="17">
        <v>4</v>
      </c>
      <c r="I31" t="s">
        <v>247</v>
      </c>
      <c r="J31">
        <v>9</v>
      </c>
      <c r="K31" t="s">
        <v>268</v>
      </c>
      <c r="L31">
        <f>VLOOKUP(K31,Start!$A$15:$B$22,2)</f>
        <v>46</v>
      </c>
    </row>
    <row r="32" spans="1:12" ht="17">
      <c r="A32">
        <v>31</v>
      </c>
      <c r="B32" s="16" t="s">
        <v>25</v>
      </c>
      <c r="C32" s="16">
        <v>29</v>
      </c>
      <c r="D32" s="16"/>
      <c r="E32" s="16" t="s">
        <v>26</v>
      </c>
      <c r="F32" s="16" t="s">
        <v>26</v>
      </c>
      <c r="G32" s="17" t="s">
        <v>57</v>
      </c>
      <c r="H32" s="17">
        <v>27</v>
      </c>
      <c r="I32" t="s">
        <v>247</v>
      </c>
      <c r="J32">
        <v>55</v>
      </c>
      <c r="K32" t="s">
        <v>276</v>
      </c>
      <c r="L32">
        <f>VLOOKUP(K32,Start!$A$15:$B$22,2)</f>
        <v>55</v>
      </c>
    </row>
    <row r="33" spans="1:14" ht="17">
      <c r="A33">
        <v>32</v>
      </c>
      <c r="B33" s="16" t="s">
        <v>25</v>
      </c>
      <c r="C33" s="16">
        <v>30</v>
      </c>
      <c r="D33" s="16"/>
      <c r="E33" s="16" t="s">
        <v>26</v>
      </c>
      <c r="F33" s="16" t="s">
        <v>26</v>
      </c>
      <c r="G33" s="17" t="s">
        <v>58</v>
      </c>
      <c r="H33" s="17">
        <v>143</v>
      </c>
      <c r="I33" t="s">
        <v>247</v>
      </c>
      <c r="J33">
        <v>287</v>
      </c>
      <c r="K33" t="s">
        <v>268</v>
      </c>
      <c r="L33">
        <f>VLOOKUP(K33,Start!$A$15:$B$22,2)</f>
        <v>46</v>
      </c>
    </row>
    <row r="34" spans="1:14" ht="17">
      <c r="A34">
        <v>33</v>
      </c>
      <c r="B34" s="16" t="s">
        <v>25</v>
      </c>
      <c r="C34" s="16">
        <v>31</v>
      </c>
      <c r="D34" s="16"/>
      <c r="E34" s="16" t="s">
        <v>26</v>
      </c>
      <c r="F34" s="16" t="s">
        <v>26</v>
      </c>
      <c r="G34" s="17" t="s">
        <v>59</v>
      </c>
      <c r="H34" s="17">
        <v>111</v>
      </c>
      <c r="I34" t="s">
        <v>247</v>
      </c>
      <c r="J34">
        <v>223</v>
      </c>
      <c r="K34" t="s">
        <v>268</v>
      </c>
      <c r="L34">
        <f>VLOOKUP(K34,Start!$A$15:$B$22,2)</f>
        <v>46</v>
      </c>
    </row>
    <row r="35" spans="1:14" ht="17">
      <c r="A35">
        <v>34</v>
      </c>
      <c r="B35" s="16" t="s">
        <v>25</v>
      </c>
      <c r="C35" s="16">
        <v>32</v>
      </c>
      <c r="D35" s="16"/>
      <c r="E35" s="16" t="s">
        <v>26</v>
      </c>
      <c r="F35" s="16" t="s">
        <v>26</v>
      </c>
      <c r="G35" s="17" t="s">
        <v>60</v>
      </c>
      <c r="H35" s="17">
        <v>49</v>
      </c>
      <c r="I35" t="s">
        <v>247</v>
      </c>
      <c r="J35">
        <v>99</v>
      </c>
      <c r="K35" t="s">
        <v>268</v>
      </c>
      <c r="L35">
        <f>VLOOKUP(K35,Start!$A$15:$B$22,2)</f>
        <v>46</v>
      </c>
    </row>
    <row r="36" spans="1:14" ht="17">
      <c r="A36">
        <v>35</v>
      </c>
      <c r="B36" s="16" t="s">
        <v>25</v>
      </c>
      <c r="C36" s="16">
        <v>33</v>
      </c>
      <c r="D36" s="16"/>
      <c r="E36" s="16" t="s">
        <v>26</v>
      </c>
      <c r="F36" s="16" t="s">
        <v>26</v>
      </c>
      <c r="G36" s="17" t="s">
        <v>61</v>
      </c>
      <c r="H36" s="17">
        <v>12</v>
      </c>
      <c r="I36" t="s">
        <v>247</v>
      </c>
      <c r="J36">
        <v>25</v>
      </c>
      <c r="K36" t="s">
        <v>268</v>
      </c>
      <c r="L36">
        <f>VLOOKUP(K36,Start!$A$15:$B$22,2)</f>
        <v>46</v>
      </c>
    </row>
    <row r="37" spans="1:14" ht="17">
      <c r="A37">
        <v>36</v>
      </c>
      <c r="B37" s="16" t="s">
        <v>25</v>
      </c>
      <c r="C37" s="16">
        <v>34</v>
      </c>
      <c r="D37" s="16"/>
      <c r="E37" s="16" t="s">
        <v>26</v>
      </c>
      <c r="F37" s="16" t="s">
        <v>26</v>
      </c>
      <c r="G37" s="17" t="s">
        <v>62</v>
      </c>
      <c r="H37" s="17">
        <v>153</v>
      </c>
      <c r="I37" t="s">
        <v>247</v>
      </c>
      <c r="J37">
        <v>307</v>
      </c>
      <c r="K37" t="s">
        <v>268</v>
      </c>
      <c r="L37">
        <f>VLOOKUP(K37,Start!$A$15:$B$22,2)</f>
        <v>46</v>
      </c>
    </row>
    <row r="38" spans="1:14" ht="17">
      <c r="A38">
        <v>37</v>
      </c>
      <c r="B38" s="16" t="s">
        <v>25</v>
      </c>
      <c r="C38" s="16">
        <v>35</v>
      </c>
      <c r="D38" s="16"/>
      <c r="E38" s="16" t="s">
        <v>26</v>
      </c>
      <c r="F38" s="16" t="s">
        <v>26</v>
      </c>
      <c r="G38" s="17" t="s">
        <v>63</v>
      </c>
      <c r="H38" s="17">
        <v>196</v>
      </c>
      <c r="I38" t="s">
        <v>247</v>
      </c>
      <c r="J38">
        <v>393</v>
      </c>
      <c r="K38" t="s">
        <v>268</v>
      </c>
      <c r="L38">
        <f>VLOOKUP(K38,Start!$A$15:$B$22,2)</f>
        <v>46</v>
      </c>
    </row>
    <row r="39" spans="1:14" ht="17">
      <c r="A39">
        <v>38</v>
      </c>
      <c r="B39" s="16" t="s">
        <v>25</v>
      </c>
      <c r="C39" s="16">
        <v>36</v>
      </c>
      <c r="D39" s="16"/>
      <c r="E39" s="16" t="s">
        <v>26</v>
      </c>
      <c r="F39" s="16" t="s">
        <v>26</v>
      </c>
      <c r="G39" s="17" t="s">
        <v>64</v>
      </c>
      <c r="H39" s="17">
        <v>95</v>
      </c>
      <c r="I39" t="s">
        <v>247</v>
      </c>
      <c r="J39">
        <v>191</v>
      </c>
      <c r="K39" t="s">
        <v>276</v>
      </c>
      <c r="L39">
        <f>VLOOKUP(K39,Start!$A$15:$B$22,2)</f>
        <v>55</v>
      </c>
    </row>
    <row r="40" spans="1:14" ht="17">
      <c r="A40">
        <v>39</v>
      </c>
      <c r="B40" s="16" t="s">
        <v>25</v>
      </c>
      <c r="C40" s="16">
        <v>37</v>
      </c>
      <c r="D40" s="16"/>
      <c r="E40" s="16" t="s">
        <v>26</v>
      </c>
      <c r="F40" s="16" t="s">
        <v>26</v>
      </c>
      <c r="G40" s="17" t="s">
        <v>65</v>
      </c>
      <c r="H40" s="17">
        <v>42</v>
      </c>
      <c r="I40" t="s">
        <v>247</v>
      </c>
      <c r="J40">
        <v>85</v>
      </c>
      <c r="K40" t="s">
        <v>268</v>
      </c>
      <c r="L40">
        <f>VLOOKUP(K40,Start!$A$15:$B$22,2)</f>
        <v>46</v>
      </c>
    </row>
    <row r="41" spans="1:14" ht="17">
      <c r="A41">
        <v>40</v>
      </c>
      <c r="B41" s="16" t="s">
        <v>25</v>
      </c>
      <c r="C41" s="16">
        <v>38</v>
      </c>
      <c r="D41" s="16"/>
      <c r="E41" s="16" t="s">
        <v>26</v>
      </c>
      <c r="F41" s="16" t="s">
        <v>26</v>
      </c>
      <c r="G41" s="17" t="s">
        <v>66</v>
      </c>
      <c r="H41" s="17">
        <v>167</v>
      </c>
      <c r="I41" t="s">
        <v>247</v>
      </c>
      <c r="J41">
        <v>335</v>
      </c>
      <c r="K41" t="s">
        <v>277</v>
      </c>
      <c r="L41">
        <f>VLOOKUP(K41,Start!$A$15:$B$22,2)</f>
        <v>62</v>
      </c>
    </row>
    <row r="42" spans="1:14" ht="17">
      <c r="A42">
        <v>41</v>
      </c>
      <c r="B42" s="16" t="s">
        <v>25</v>
      </c>
      <c r="C42" s="16">
        <v>39</v>
      </c>
      <c r="D42" s="16"/>
      <c r="E42" s="16" t="s">
        <v>26</v>
      </c>
      <c r="F42" s="16" t="s">
        <v>26</v>
      </c>
      <c r="G42" s="17" t="s">
        <v>67</v>
      </c>
      <c r="H42" s="17">
        <v>195</v>
      </c>
      <c r="I42" t="s">
        <v>247</v>
      </c>
      <c r="J42">
        <v>391</v>
      </c>
      <c r="K42" t="s">
        <v>268</v>
      </c>
      <c r="L42">
        <f>VLOOKUP(K42,Start!$A$15:$B$22,2)</f>
        <v>46</v>
      </c>
    </row>
    <row r="43" spans="1:14" ht="17">
      <c r="A43">
        <v>42</v>
      </c>
      <c r="B43" s="16" t="s">
        <v>25</v>
      </c>
      <c r="C43" s="16">
        <v>40</v>
      </c>
      <c r="D43" s="16"/>
      <c r="E43" s="16" t="s">
        <v>26</v>
      </c>
      <c r="F43" s="16" t="s">
        <v>26</v>
      </c>
      <c r="G43" s="17" t="s">
        <v>68</v>
      </c>
      <c r="H43" s="17">
        <v>201</v>
      </c>
      <c r="I43" t="s">
        <v>247</v>
      </c>
      <c r="J43">
        <v>403</v>
      </c>
      <c r="K43" t="s">
        <v>277</v>
      </c>
      <c r="L43">
        <f>VLOOKUP(K43,Start!$A$15:$B$22,2)</f>
        <v>62</v>
      </c>
    </row>
    <row r="44" spans="1:14" ht="17">
      <c r="A44">
        <v>43</v>
      </c>
      <c r="B44" s="16" t="s">
        <v>25</v>
      </c>
      <c r="C44" s="54">
        <v>41</v>
      </c>
      <c r="D44" s="54">
        <v>3</v>
      </c>
      <c r="E44" s="16" t="s">
        <v>26</v>
      </c>
      <c r="F44" s="16" t="s">
        <v>26</v>
      </c>
      <c r="G44" s="17" t="s">
        <v>69</v>
      </c>
      <c r="H44" s="17">
        <v>131</v>
      </c>
      <c r="I44" t="s">
        <v>247</v>
      </c>
      <c r="J44" s="7">
        <v>263</v>
      </c>
      <c r="K44" s="7" t="s">
        <v>268</v>
      </c>
      <c r="L44">
        <f>VLOOKUP(K44,Start!$A$15:$B$22,2)</f>
        <v>46</v>
      </c>
      <c r="N44" t="s">
        <v>280</v>
      </c>
    </row>
    <row r="45" spans="1:14" ht="17">
      <c r="A45">
        <v>44</v>
      </c>
      <c r="B45" s="51"/>
      <c r="C45" s="54"/>
      <c r="D45" s="54"/>
      <c r="E45" s="16"/>
      <c r="F45" s="16"/>
      <c r="G45" s="17" t="s">
        <v>70</v>
      </c>
      <c r="H45" s="17">
        <v>132</v>
      </c>
      <c r="I45" t="s">
        <v>247</v>
      </c>
      <c r="J45" s="7">
        <v>265</v>
      </c>
      <c r="K45" s="7" t="s">
        <v>281</v>
      </c>
      <c r="L45">
        <f>VLOOKUP(K45,Start!$A$15:$B$22,2)</f>
        <v>29</v>
      </c>
    </row>
    <row r="46" spans="1:14" ht="17">
      <c r="A46">
        <v>45</v>
      </c>
      <c r="B46" s="16" t="s">
        <v>25</v>
      </c>
      <c r="C46" s="16">
        <v>42</v>
      </c>
      <c r="D46" s="16"/>
      <c r="E46" s="16" t="s">
        <v>26</v>
      </c>
      <c r="F46" s="16" t="s">
        <v>26</v>
      </c>
      <c r="G46" s="17" t="s">
        <v>71</v>
      </c>
      <c r="H46" s="17">
        <v>164</v>
      </c>
      <c r="I46" t="s">
        <v>247</v>
      </c>
      <c r="J46">
        <v>329</v>
      </c>
      <c r="K46" t="s">
        <v>268</v>
      </c>
      <c r="L46">
        <f>VLOOKUP(K46,Start!$A$15:$B$22,2)</f>
        <v>46</v>
      </c>
    </row>
    <row r="47" spans="1:14" ht="17">
      <c r="A47">
        <v>46</v>
      </c>
      <c r="B47" s="16" t="s">
        <v>25</v>
      </c>
      <c r="C47" s="16">
        <v>43</v>
      </c>
      <c r="D47" s="16"/>
      <c r="E47" s="16" t="s">
        <v>26</v>
      </c>
      <c r="F47" s="16" t="s">
        <v>26</v>
      </c>
      <c r="G47" s="17" t="s">
        <v>72</v>
      </c>
      <c r="H47" s="17">
        <v>55</v>
      </c>
      <c r="I47" t="s">
        <v>247</v>
      </c>
      <c r="J47">
        <v>111</v>
      </c>
      <c r="K47" t="s">
        <v>268</v>
      </c>
      <c r="L47">
        <f>VLOOKUP(K47,Start!$A$15:$B$22,2)</f>
        <v>46</v>
      </c>
    </row>
    <row r="48" spans="1:14" ht="17">
      <c r="A48">
        <v>47</v>
      </c>
      <c r="B48" s="16" t="s">
        <v>25</v>
      </c>
      <c r="C48" s="16">
        <v>44</v>
      </c>
      <c r="D48" s="16"/>
      <c r="E48" s="16" t="s">
        <v>26</v>
      </c>
      <c r="F48" s="16" t="s">
        <v>26</v>
      </c>
      <c r="G48" s="17" t="s">
        <v>73</v>
      </c>
      <c r="H48" s="17">
        <v>155</v>
      </c>
      <c r="I48" t="s">
        <v>247</v>
      </c>
      <c r="J48">
        <v>311</v>
      </c>
      <c r="K48" t="s">
        <v>268</v>
      </c>
      <c r="L48">
        <f>VLOOKUP(K48,Start!$A$15:$B$22,2)</f>
        <v>46</v>
      </c>
    </row>
    <row r="49" spans="1:14" ht="17">
      <c r="A49">
        <v>48</v>
      </c>
      <c r="B49" s="16" t="s">
        <v>25</v>
      </c>
      <c r="C49" s="16">
        <v>45</v>
      </c>
      <c r="D49" s="16"/>
      <c r="E49" s="16" t="s">
        <v>26</v>
      </c>
      <c r="F49" s="16" t="s">
        <v>26</v>
      </c>
      <c r="G49" s="17" t="s">
        <v>74</v>
      </c>
      <c r="H49" s="17">
        <v>169</v>
      </c>
      <c r="I49" t="s">
        <v>247</v>
      </c>
      <c r="J49">
        <v>339</v>
      </c>
      <c r="K49" t="s">
        <v>268</v>
      </c>
      <c r="L49">
        <f>VLOOKUP(K49,Start!$A$15:$B$22,2)</f>
        <v>46</v>
      </c>
    </row>
    <row r="50" spans="1:14" ht="17">
      <c r="A50">
        <v>49</v>
      </c>
      <c r="B50" s="16" t="s">
        <v>25</v>
      </c>
      <c r="C50" s="16">
        <v>46</v>
      </c>
      <c r="D50" s="16"/>
      <c r="E50" s="16" t="s">
        <v>26</v>
      </c>
      <c r="F50" s="16" t="s">
        <v>26</v>
      </c>
      <c r="G50" s="17" t="s">
        <v>75</v>
      </c>
      <c r="H50" s="17">
        <v>85</v>
      </c>
      <c r="I50" t="s">
        <v>247</v>
      </c>
      <c r="J50">
        <v>171</v>
      </c>
      <c r="K50" t="s">
        <v>268</v>
      </c>
      <c r="L50">
        <f>VLOOKUP(K50,Start!$A$15:$B$22,2)</f>
        <v>46</v>
      </c>
    </row>
    <row r="51" spans="1:14" ht="17">
      <c r="A51">
        <v>50</v>
      </c>
      <c r="B51" s="16" t="s">
        <v>25</v>
      </c>
      <c r="C51" s="16">
        <v>47</v>
      </c>
      <c r="D51" s="16"/>
      <c r="E51" s="16" t="s">
        <v>26</v>
      </c>
      <c r="F51" s="16" t="s">
        <v>26</v>
      </c>
      <c r="G51" s="17" t="s">
        <v>76</v>
      </c>
      <c r="H51" s="17">
        <v>198</v>
      </c>
      <c r="I51" t="s">
        <v>247</v>
      </c>
      <c r="J51">
        <v>397</v>
      </c>
      <c r="K51" t="s">
        <v>268</v>
      </c>
      <c r="L51">
        <f>VLOOKUP(K51,Start!$A$15:$B$22,2)</f>
        <v>46</v>
      </c>
    </row>
    <row r="52" spans="1:14" ht="17">
      <c r="A52">
        <v>51</v>
      </c>
      <c r="B52" s="16" t="s">
        <v>25</v>
      </c>
      <c r="C52" s="16">
        <v>48</v>
      </c>
      <c r="D52" s="16"/>
      <c r="E52" s="16" t="s">
        <v>26</v>
      </c>
      <c r="F52" s="16" t="s">
        <v>26</v>
      </c>
      <c r="G52" s="17" t="s">
        <v>77</v>
      </c>
      <c r="H52" s="17">
        <v>176</v>
      </c>
      <c r="I52" t="s">
        <v>247</v>
      </c>
      <c r="J52">
        <v>353</v>
      </c>
      <c r="K52" t="s">
        <v>277</v>
      </c>
      <c r="L52">
        <f>VLOOKUP(K52,Start!$A$15:$B$22,2)</f>
        <v>62</v>
      </c>
    </row>
    <row r="53" spans="1:14" ht="17">
      <c r="A53">
        <v>52</v>
      </c>
      <c r="B53" s="16" t="s">
        <v>25</v>
      </c>
      <c r="C53" s="16">
        <v>49</v>
      </c>
      <c r="D53" s="16"/>
      <c r="E53" s="16" t="s">
        <v>26</v>
      </c>
      <c r="F53" s="16" t="s">
        <v>26</v>
      </c>
      <c r="G53" s="17" t="s">
        <v>78</v>
      </c>
      <c r="H53" s="17">
        <v>135</v>
      </c>
      <c r="I53" t="s">
        <v>247</v>
      </c>
      <c r="J53">
        <v>271</v>
      </c>
      <c r="K53" t="s">
        <v>268</v>
      </c>
      <c r="L53">
        <f>VLOOKUP(K53,Start!$A$15:$B$22,2)</f>
        <v>46</v>
      </c>
    </row>
    <row r="54" spans="1:14" ht="17">
      <c r="A54">
        <v>53</v>
      </c>
      <c r="B54" s="16" t="s">
        <v>25</v>
      </c>
      <c r="C54" s="16">
        <v>50</v>
      </c>
      <c r="D54" s="16"/>
      <c r="E54" s="16" t="s">
        <v>26</v>
      </c>
      <c r="F54" s="16" t="s">
        <v>26</v>
      </c>
      <c r="G54" s="17" t="s">
        <v>79</v>
      </c>
      <c r="H54" s="17">
        <v>34</v>
      </c>
      <c r="I54" t="s">
        <v>247</v>
      </c>
      <c r="J54">
        <v>69</v>
      </c>
      <c r="K54" t="s">
        <v>268</v>
      </c>
      <c r="L54">
        <f>VLOOKUP(K54,Start!$A$15:$B$22,2)</f>
        <v>46</v>
      </c>
    </row>
    <row r="55" spans="1:14" ht="17">
      <c r="A55">
        <v>54</v>
      </c>
      <c r="B55" s="16" t="s">
        <v>25</v>
      </c>
      <c r="C55" s="54">
        <v>51</v>
      </c>
      <c r="D55" s="54">
        <v>4</v>
      </c>
      <c r="E55" s="16" t="s">
        <v>26</v>
      </c>
      <c r="F55" s="16" t="s">
        <v>26</v>
      </c>
      <c r="G55" s="17" t="s">
        <v>80</v>
      </c>
      <c r="H55" s="17">
        <v>97</v>
      </c>
      <c r="I55" t="s">
        <v>247</v>
      </c>
      <c r="J55" s="7">
        <v>195</v>
      </c>
      <c r="K55" s="7" t="s">
        <v>268</v>
      </c>
      <c r="L55">
        <f>VLOOKUP(K55,Start!$A$15:$B$22,2)</f>
        <v>46</v>
      </c>
      <c r="N55" t="s">
        <v>280</v>
      </c>
    </row>
    <row r="56" spans="1:14" ht="17">
      <c r="A56">
        <v>55</v>
      </c>
      <c r="B56" s="51"/>
      <c r="C56" s="54"/>
      <c r="D56" s="54"/>
      <c r="E56" s="16"/>
      <c r="F56" s="16"/>
      <c r="G56" s="17" t="s">
        <v>81</v>
      </c>
      <c r="H56" s="17">
        <v>98</v>
      </c>
      <c r="I56" t="s">
        <v>247</v>
      </c>
      <c r="J56" s="7">
        <v>197</v>
      </c>
      <c r="K56" s="7" t="s">
        <v>281</v>
      </c>
      <c r="L56">
        <f>VLOOKUP(K56,Start!$A$15:$B$22,2)</f>
        <v>29</v>
      </c>
    </row>
    <row r="57" spans="1:14" ht="17">
      <c r="A57">
        <v>56</v>
      </c>
      <c r="B57" s="16" t="s">
        <v>25</v>
      </c>
      <c r="C57" s="16">
        <v>52</v>
      </c>
      <c r="D57" s="16"/>
      <c r="E57" s="16" t="s">
        <v>26</v>
      </c>
      <c r="F57" s="16" t="s">
        <v>26</v>
      </c>
      <c r="G57" s="17" t="s">
        <v>82</v>
      </c>
      <c r="H57" s="17">
        <v>72</v>
      </c>
      <c r="I57" t="s">
        <v>247</v>
      </c>
      <c r="J57">
        <v>145</v>
      </c>
      <c r="K57" t="s">
        <v>268</v>
      </c>
      <c r="L57">
        <f>VLOOKUP(K57,Start!$A$15:$B$22,2)</f>
        <v>46</v>
      </c>
    </row>
    <row r="58" spans="1:14" ht="17">
      <c r="A58">
        <v>57</v>
      </c>
      <c r="B58" s="16" t="s">
        <v>25</v>
      </c>
      <c r="C58" s="16">
        <v>53</v>
      </c>
      <c r="D58" s="16"/>
      <c r="E58" s="16" t="s">
        <v>26</v>
      </c>
      <c r="F58" s="16" t="s">
        <v>26</v>
      </c>
      <c r="G58" s="17" t="s">
        <v>83</v>
      </c>
      <c r="H58" s="17">
        <v>19</v>
      </c>
      <c r="I58" t="s">
        <v>247</v>
      </c>
      <c r="J58">
        <v>39</v>
      </c>
      <c r="K58" t="s">
        <v>268</v>
      </c>
      <c r="L58">
        <f>VLOOKUP(K58,Start!$A$15:$B$22,2)</f>
        <v>46</v>
      </c>
    </row>
    <row r="59" spans="1:14" ht="17">
      <c r="A59">
        <v>58</v>
      </c>
      <c r="B59" s="16" t="s">
        <v>25</v>
      </c>
      <c r="C59" s="54">
        <v>54</v>
      </c>
      <c r="D59" s="54">
        <v>5</v>
      </c>
      <c r="E59" s="16" t="s">
        <v>26</v>
      </c>
      <c r="F59" s="16" t="s">
        <v>26</v>
      </c>
      <c r="G59" s="17" t="s">
        <v>84</v>
      </c>
      <c r="H59" s="17">
        <v>140</v>
      </c>
      <c r="I59" t="s">
        <v>247</v>
      </c>
      <c r="J59" s="7">
        <v>281</v>
      </c>
      <c r="K59" s="7" t="s">
        <v>268</v>
      </c>
      <c r="L59">
        <f>VLOOKUP(K59,Start!$A$15:$B$22,2)</f>
        <v>46</v>
      </c>
      <c r="N59" t="s">
        <v>280</v>
      </c>
    </row>
    <row r="60" spans="1:14" ht="17">
      <c r="A60">
        <v>59</v>
      </c>
      <c r="B60" s="51"/>
      <c r="C60" s="54"/>
      <c r="D60" s="54"/>
      <c r="E60" s="16"/>
      <c r="F60" s="16"/>
      <c r="G60" s="17" t="s">
        <v>85</v>
      </c>
      <c r="H60" s="17">
        <v>141</v>
      </c>
      <c r="I60" t="s">
        <v>247</v>
      </c>
      <c r="J60" s="7">
        <v>283</v>
      </c>
      <c r="K60" s="7" t="s">
        <v>281</v>
      </c>
      <c r="L60">
        <f>VLOOKUP(K60,Start!$A$15:$B$22,2)</f>
        <v>29</v>
      </c>
    </row>
    <row r="61" spans="1:14" ht="17">
      <c r="A61">
        <v>60</v>
      </c>
      <c r="B61" s="16" t="s">
        <v>25</v>
      </c>
      <c r="C61" s="16">
        <v>55</v>
      </c>
      <c r="D61" s="16"/>
      <c r="E61" s="16" t="s">
        <v>26</v>
      </c>
      <c r="F61" s="16" t="s">
        <v>26</v>
      </c>
      <c r="G61" s="17" t="s">
        <v>86</v>
      </c>
      <c r="H61" s="17">
        <v>113</v>
      </c>
      <c r="I61" t="s">
        <v>247</v>
      </c>
      <c r="J61">
        <v>227</v>
      </c>
      <c r="K61" t="s">
        <v>268</v>
      </c>
      <c r="L61">
        <f>VLOOKUP(K61,Start!$A$15:$B$22,2)</f>
        <v>46</v>
      </c>
    </row>
    <row r="62" spans="1:14" ht="17">
      <c r="A62">
        <v>61</v>
      </c>
      <c r="B62" s="16" t="s">
        <v>25</v>
      </c>
      <c r="C62" s="16">
        <v>56</v>
      </c>
      <c r="D62" s="16"/>
      <c r="E62" s="16" t="s">
        <v>26</v>
      </c>
      <c r="F62" s="16" t="s">
        <v>26</v>
      </c>
      <c r="G62" s="17" t="s">
        <v>87</v>
      </c>
      <c r="H62" s="17">
        <v>37</v>
      </c>
      <c r="I62" t="s">
        <v>247</v>
      </c>
      <c r="J62">
        <v>75</v>
      </c>
      <c r="K62" t="s">
        <v>268</v>
      </c>
      <c r="L62">
        <f>VLOOKUP(K62,Start!$A$15:$B$22,2)</f>
        <v>46</v>
      </c>
    </row>
    <row r="63" spans="1:14" ht="17">
      <c r="A63">
        <v>62</v>
      </c>
      <c r="B63" s="16" t="s">
        <v>25</v>
      </c>
      <c r="C63" s="16">
        <v>57</v>
      </c>
      <c r="D63" s="16"/>
      <c r="E63" s="16" t="s">
        <v>26</v>
      </c>
      <c r="F63" s="16" t="s">
        <v>26</v>
      </c>
      <c r="G63" s="17" t="s">
        <v>88</v>
      </c>
      <c r="H63" s="17">
        <v>159</v>
      </c>
      <c r="I63" t="s">
        <v>247</v>
      </c>
      <c r="J63">
        <v>319</v>
      </c>
      <c r="K63" t="s">
        <v>277</v>
      </c>
      <c r="L63">
        <f>VLOOKUP(K63,Start!$A$15:$B$22,2)</f>
        <v>62</v>
      </c>
    </row>
    <row r="64" spans="1:14" ht="17">
      <c r="A64">
        <v>63</v>
      </c>
      <c r="B64" s="16" t="s">
        <v>25</v>
      </c>
      <c r="C64" s="16">
        <v>58</v>
      </c>
      <c r="D64" s="16"/>
      <c r="E64" s="16" t="s">
        <v>26</v>
      </c>
      <c r="F64" s="16" t="s">
        <v>26</v>
      </c>
      <c r="G64" s="17" t="s">
        <v>89</v>
      </c>
      <c r="H64" s="17">
        <v>112</v>
      </c>
      <c r="I64" t="s">
        <v>247</v>
      </c>
      <c r="J64">
        <v>225</v>
      </c>
      <c r="K64" t="s">
        <v>276</v>
      </c>
      <c r="L64">
        <f>VLOOKUP(K64,Start!$A$15:$B$22,2)</f>
        <v>55</v>
      </c>
    </row>
    <row r="65" spans="1:14" ht="17">
      <c r="A65">
        <v>64</v>
      </c>
      <c r="B65" s="16" t="s">
        <v>25</v>
      </c>
      <c r="C65" s="54">
        <v>59</v>
      </c>
      <c r="D65" s="54">
        <v>6</v>
      </c>
      <c r="E65" s="16" t="s">
        <v>26</v>
      </c>
      <c r="F65" s="16" t="s">
        <v>26</v>
      </c>
      <c r="G65" s="17" t="s">
        <v>90</v>
      </c>
      <c r="H65" s="17">
        <v>114</v>
      </c>
      <c r="I65" t="s">
        <v>247</v>
      </c>
      <c r="J65" s="7">
        <v>229</v>
      </c>
      <c r="K65" s="7" t="s">
        <v>268</v>
      </c>
      <c r="L65">
        <f>VLOOKUP(K65,Start!$A$15:$B$22,2)</f>
        <v>46</v>
      </c>
      <c r="N65" t="s">
        <v>280</v>
      </c>
    </row>
    <row r="66" spans="1:14" ht="17">
      <c r="A66">
        <v>65</v>
      </c>
      <c r="B66" s="51"/>
      <c r="C66" s="54"/>
      <c r="D66" s="54"/>
      <c r="E66" s="16"/>
      <c r="F66" s="16"/>
      <c r="G66" s="17" t="s">
        <v>91</v>
      </c>
      <c r="H66" s="17">
        <v>115</v>
      </c>
      <c r="I66" t="s">
        <v>247</v>
      </c>
      <c r="J66" s="7">
        <v>231</v>
      </c>
      <c r="K66" s="7" t="s">
        <v>281</v>
      </c>
      <c r="L66">
        <f>VLOOKUP(K66,Start!$A$15:$B$22,2)</f>
        <v>29</v>
      </c>
    </row>
    <row r="67" spans="1:14" ht="17">
      <c r="A67">
        <v>66</v>
      </c>
      <c r="B67" s="16" t="s">
        <v>25</v>
      </c>
      <c r="C67" s="53">
        <v>60</v>
      </c>
      <c r="D67" s="54">
        <v>7</v>
      </c>
      <c r="E67" s="16" t="s">
        <v>26</v>
      </c>
      <c r="F67" s="16" t="s">
        <v>26</v>
      </c>
      <c r="G67" s="17" t="s">
        <v>92</v>
      </c>
      <c r="H67" s="17">
        <v>123</v>
      </c>
      <c r="I67" t="s">
        <v>247</v>
      </c>
      <c r="J67" s="7">
        <v>247</v>
      </c>
      <c r="K67" s="7" t="s">
        <v>268</v>
      </c>
      <c r="L67">
        <f>VLOOKUP(K67,Start!$A$15:$B$22,2)</f>
        <v>46</v>
      </c>
      <c r="N67" t="s">
        <v>280</v>
      </c>
    </row>
    <row r="68" spans="1:14" ht="17">
      <c r="A68">
        <v>67</v>
      </c>
      <c r="B68" s="16"/>
      <c r="C68" s="53"/>
      <c r="D68" s="54"/>
      <c r="E68" s="16"/>
      <c r="F68" s="16"/>
      <c r="G68" s="17" t="s">
        <v>93</v>
      </c>
      <c r="H68" s="17">
        <v>124</v>
      </c>
      <c r="I68" t="s">
        <v>247</v>
      </c>
      <c r="J68" s="7">
        <v>249</v>
      </c>
      <c r="K68" s="7" t="s">
        <v>281</v>
      </c>
      <c r="L68">
        <f>VLOOKUP(K68,Start!$A$15:$B$22,2)</f>
        <v>29</v>
      </c>
    </row>
    <row r="69" spans="1:14" ht="17">
      <c r="A69">
        <v>68</v>
      </c>
      <c r="B69" s="16" t="s">
        <v>25</v>
      </c>
      <c r="C69" s="16">
        <v>61</v>
      </c>
      <c r="D69" s="16"/>
      <c r="E69" s="16" t="s">
        <v>26</v>
      </c>
      <c r="F69" s="16" t="s">
        <v>26</v>
      </c>
      <c r="G69" s="17" t="s">
        <v>94</v>
      </c>
      <c r="H69" s="17">
        <v>187</v>
      </c>
      <c r="I69" t="s">
        <v>247</v>
      </c>
      <c r="J69">
        <v>375</v>
      </c>
      <c r="K69" t="s">
        <v>268</v>
      </c>
      <c r="L69">
        <f>VLOOKUP(K69,Start!$A$15:$B$22,2)</f>
        <v>46</v>
      </c>
    </row>
    <row r="70" spans="1:14" ht="17">
      <c r="A70">
        <v>69</v>
      </c>
      <c r="B70" s="16" t="s">
        <v>25</v>
      </c>
      <c r="C70" s="16">
        <v>62</v>
      </c>
      <c r="D70" s="16"/>
      <c r="E70" s="16" t="s">
        <v>26</v>
      </c>
      <c r="F70" s="16" t="s">
        <v>26</v>
      </c>
      <c r="G70" s="17" t="s">
        <v>95</v>
      </c>
      <c r="H70" s="17">
        <v>170</v>
      </c>
      <c r="I70" t="s">
        <v>247</v>
      </c>
      <c r="J70">
        <v>341</v>
      </c>
      <c r="K70" t="s">
        <v>268</v>
      </c>
      <c r="L70">
        <f>VLOOKUP(K70,Start!$A$15:$B$22,2)</f>
        <v>46</v>
      </c>
    </row>
    <row r="71" spans="1:14" ht="17">
      <c r="A71">
        <v>70</v>
      </c>
      <c r="B71" s="16" t="s">
        <v>25</v>
      </c>
      <c r="C71" s="16">
        <v>63</v>
      </c>
      <c r="D71" s="16"/>
      <c r="E71" s="16" t="s">
        <v>26</v>
      </c>
      <c r="F71" s="16" t="s">
        <v>26</v>
      </c>
      <c r="G71" s="17" t="s">
        <v>96</v>
      </c>
      <c r="H71" s="17">
        <v>40</v>
      </c>
      <c r="I71" t="s">
        <v>247</v>
      </c>
      <c r="J71">
        <v>81</v>
      </c>
      <c r="K71" t="s">
        <v>277</v>
      </c>
      <c r="L71">
        <f>VLOOKUP(K71,Start!$A$15:$B$22,2)</f>
        <v>62</v>
      </c>
    </row>
    <row r="72" spans="1:14" ht="17">
      <c r="A72">
        <v>71</v>
      </c>
      <c r="B72" s="16" t="s">
        <v>25</v>
      </c>
      <c r="C72" s="16">
        <v>64</v>
      </c>
      <c r="D72" s="16"/>
      <c r="E72" s="16" t="s">
        <v>26</v>
      </c>
      <c r="F72" s="16" t="s">
        <v>26</v>
      </c>
      <c r="G72" s="17" t="s">
        <v>97</v>
      </c>
      <c r="H72" s="17">
        <v>199</v>
      </c>
      <c r="I72" t="s">
        <v>247</v>
      </c>
      <c r="J72">
        <v>399</v>
      </c>
      <c r="K72" t="s">
        <v>268</v>
      </c>
      <c r="L72">
        <f>VLOOKUP(K72,Start!$A$15:$B$22,2)</f>
        <v>46</v>
      </c>
    </row>
    <row r="73" spans="1:14" ht="17">
      <c r="A73">
        <v>72</v>
      </c>
      <c r="B73" s="16" t="s">
        <v>25</v>
      </c>
      <c r="C73" s="52">
        <v>65</v>
      </c>
      <c r="D73" s="54">
        <v>8</v>
      </c>
      <c r="E73" s="16" t="s">
        <v>26</v>
      </c>
      <c r="F73" s="16" t="s">
        <v>26</v>
      </c>
      <c r="G73" s="17" t="s">
        <v>98</v>
      </c>
      <c r="H73" s="17">
        <v>208</v>
      </c>
      <c r="I73" t="s">
        <v>247</v>
      </c>
      <c r="J73" s="7">
        <v>417</v>
      </c>
      <c r="K73" s="7" t="s">
        <v>268</v>
      </c>
      <c r="L73">
        <f>VLOOKUP(K73,Start!$A$15:$B$22,2)</f>
        <v>46</v>
      </c>
      <c r="N73" t="s">
        <v>280</v>
      </c>
    </row>
    <row r="74" spans="1:14" ht="17">
      <c r="A74">
        <v>73</v>
      </c>
      <c r="B74" s="51"/>
      <c r="C74" s="52"/>
      <c r="D74" s="54"/>
      <c r="E74" s="16"/>
      <c r="F74" s="16"/>
      <c r="G74" s="17" t="s">
        <v>99</v>
      </c>
      <c r="H74" s="17">
        <v>209</v>
      </c>
      <c r="I74" t="s">
        <v>247</v>
      </c>
      <c r="J74" s="7">
        <v>419</v>
      </c>
      <c r="K74" s="7" t="s">
        <v>281</v>
      </c>
      <c r="L74">
        <f>VLOOKUP(K74,Start!$A$15:$B$22,2)</f>
        <v>29</v>
      </c>
    </row>
    <row r="75" spans="1:14" ht="17">
      <c r="A75">
        <v>74</v>
      </c>
      <c r="B75" s="16" t="s">
        <v>25</v>
      </c>
      <c r="C75" s="16">
        <v>66</v>
      </c>
      <c r="D75" s="16"/>
      <c r="E75" s="16" t="s">
        <v>26</v>
      </c>
      <c r="F75" s="16" t="s">
        <v>26</v>
      </c>
      <c r="G75" s="17" t="s">
        <v>100</v>
      </c>
      <c r="H75" s="17">
        <v>21</v>
      </c>
      <c r="I75" t="s">
        <v>247</v>
      </c>
      <c r="J75">
        <v>43</v>
      </c>
      <c r="K75" t="s">
        <v>268</v>
      </c>
      <c r="L75">
        <f>VLOOKUP(K75,Start!$A$15:$B$22,2)</f>
        <v>46</v>
      </c>
    </row>
    <row r="76" spans="1:14" ht="17">
      <c r="A76">
        <v>75</v>
      </c>
      <c r="B76" s="16" t="s">
        <v>25</v>
      </c>
      <c r="C76" s="16">
        <v>67</v>
      </c>
      <c r="D76" s="16"/>
      <c r="E76" s="16" t="s">
        <v>26</v>
      </c>
      <c r="F76" s="16" t="s">
        <v>26</v>
      </c>
      <c r="G76" s="17" t="s">
        <v>101</v>
      </c>
      <c r="H76" s="17">
        <v>147</v>
      </c>
      <c r="I76" t="s">
        <v>247</v>
      </c>
      <c r="J76">
        <v>295</v>
      </c>
      <c r="K76" t="s">
        <v>268</v>
      </c>
      <c r="L76">
        <f>VLOOKUP(K76,Start!$A$15:$B$22,2)</f>
        <v>46</v>
      </c>
    </row>
    <row r="77" spans="1:14" ht="17">
      <c r="A77">
        <v>76</v>
      </c>
      <c r="B77" s="16" t="s">
        <v>25</v>
      </c>
      <c r="C77" s="16">
        <v>68</v>
      </c>
      <c r="D77" s="16"/>
      <c r="E77" s="16" t="s">
        <v>26</v>
      </c>
      <c r="F77" s="16" t="s">
        <v>26</v>
      </c>
      <c r="G77" s="17" t="s">
        <v>102</v>
      </c>
      <c r="H77" s="17">
        <v>181</v>
      </c>
      <c r="I77" t="s">
        <v>247</v>
      </c>
      <c r="J77">
        <v>363</v>
      </c>
      <c r="K77" t="s">
        <v>268</v>
      </c>
      <c r="L77">
        <f>VLOOKUP(K77,Start!$A$15:$B$22,2)</f>
        <v>46</v>
      </c>
    </row>
    <row r="78" spans="1:14" ht="17">
      <c r="A78">
        <v>77</v>
      </c>
      <c r="B78" s="16" t="s">
        <v>25</v>
      </c>
      <c r="C78" s="16">
        <v>69</v>
      </c>
      <c r="D78" s="16"/>
      <c r="E78" s="16" t="s">
        <v>26</v>
      </c>
      <c r="F78" s="16" t="s">
        <v>26</v>
      </c>
      <c r="G78" s="17" t="s">
        <v>103</v>
      </c>
      <c r="H78" s="17">
        <v>184</v>
      </c>
      <c r="I78" t="s">
        <v>247</v>
      </c>
      <c r="J78">
        <v>369</v>
      </c>
      <c r="K78" t="s">
        <v>277</v>
      </c>
      <c r="L78">
        <f>VLOOKUP(K78,Start!$A$15:$B$22,2)</f>
        <v>62</v>
      </c>
    </row>
    <row r="79" spans="1:14" ht="17">
      <c r="A79">
        <v>78</v>
      </c>
      <c r="B79" s="16" t="s">
        <v>25</v>
      </c>
      <c r="C79" s="16">
        <v>70</v>
      </c>
      <c r="D79" s="16"/>
      <c r="E79" s="16" t="s">
        <v>26</v>
      </c>
      <c r="F79" s="16" t="s">
        <v>26</v>
      </c>
      <c r="G79" s="17" t="s">
        <v>104</v>
      </c>
      <c r="H79" s="17">
        <v>219</v>
      </c>
      <c r="I79" t="s">
        <v>247</v>
      </c>
      <c r="J79">
        <v>439</v>
      </c>
      <c r="K79" t="s">
        <v>287</v>
      </c>
      <c r="L79">
        <f>VLOOKUP(K79,Start!$A$15:$B$22,2)</f>
        <v>38</v>
      </c>
    </row>
    <row r="80" spans="1:14" ht="17">
      <c r="A80">
        <v>79</v>
      </c>
      <c r="B80" s="16" t="s">
        <v>25</v>
      </c>
      <c r="C80" s="16">
        <v>71</v>
      </c>
      <c r="D80" s="16"/>
      <c r="E80" s="16" t="s">
        <v>26</v>
      </c>
      <c r="F80" s="16" t="s">
        <v>26</v>
      </c>
      <c r="G80" s="17" t="s">
        <v>105</v>
      </c>
      <c r="H80" s="17">
        <v>139</v>
      </c>
      <c r="I80" t="s">
        <v>247</v>
      </c>
      <c r="J80">
        <v>279</v>
      </c>
      <c r="K80" t="s">
        <v>268</v>
      </c>
      <c r="L80">
        <f>VLOOKUP(K80,Start!$A$15:$B$22,2)</f>
        <v>46</v>
      </c>
    </row>
    <row r="81" spans="1:12" ht="17">
      <c r="A81">
        <v>80</v>
      </c>
      <c r="B81" s="16"/>
      <c r="C81" s="16">
        <v>72</v>
      </c>
      <c r="D81" s="16"/>
      <c r="E81" s="16"/>
      <c r="F81" s="16"/>
      <c r="G81" s="17" t="s">
        <v>106</v>
      </c>
      <c r="H81" s="17">
        <v>14</v>
      </c>
      <c r="I81" t="s">
        <v>247</v>
      </c>
      <c r="J81">
        <v>29</v>
      </c>
      <c r="K81" t="s">
        <v>277</v>
      </c>
      <c r="L81">
        <f>VLOOKUP(K81,Start!$A$15:$B$22,2)</f>
        <v>62</v>
      </c>
    </row>
    <row r="82" spans="1:12" ht="17">
      <c r="A82">
        <v>81</v>
      </c>
      <c r="B82" s="16" t="s">
        <v>25</v>
      </c>
      <c r="C82" s="16">
        <v>73</v>
      </c>
      <c r="D82" s="16"/>
      <c r="E82" s="16" t="s">
        <v>26</v>
      </c>
      <c r="F82" s="16" t="s">
        <v>26</v>
      </c>
      <c r="G82" s="17" t="s">
        <v>107</v>
      </c>
      <c r="H82" s="17">
        <v>117</v>
      </c>
      <c r="I82" t="s">
        <v>247</v>
      </c>
      <c r="J82">
        <v>235</v>
      </c>
      <c r="K82" t="s">
        <v>268</v>
      </c>
      <c r="L82">
        <f>VLOOKUP(K82,Start!$A$15:$B$22,2)</f>
        <v>46</v>
      </c>
    </row>
    <row r="83" spans="1:12" ht="17">
      <c r="A83">
        <v>82</v>
      </c>
      <c r="B83" s="16" t="s">
        <v>25</v>
      </c>
      <c r="C83" s="16">
        <v>74</v>
      </c>
      <c r="D83" s="16"/>
      <c r="E83" s="16" t="s">
        <v>26</v>
      </c>
      <c r="F83" s="16" t="s">
        <v>26</v>
      </c>
      <c r="G83" s="17" t="s">
        <v>108</v>
      </c>
      <c r="H83" s="17">
        <v>57</v>
      </c>
      <c r="I83" t="s">
        <v>247</v>
      </c>
      <c r="J83">
        <v>115</v>
      </c>
      <c r="K83" t="s">
        <v>277</v>
      </c>
      <c r="L83">
        <f>VLOOKUP(K83,Start!$A$15:$B$22,2)</f>
        <v>62</v>
      </c>
    </row>
    <row r="84" spans="1:12" ht="17">
      <c r="A84">
        <v>83</v>
      </c>
      <c r="B84" s="16" t="s">
        <v>25</v>
      </c>
      <c r="C84" s="16">
        <v>75</v>
      </c>
      <c r="D84" s="16"/>
      <c r="E84" s="16" t="s">
        <v>26</v>
      </c>
      <c r="F84" s="16" t="s">
        <v>26</v>
      </c>
      <c r="G84" s="17" t="s">
        <v>109</v>
      </c>
      <c r="H84" s="17">
        <v>108</v>
      </c>
      <c r="I84" t="s">
        <v>247</v>
      </c>
      <c r="J84">
        <v>217</v>
      </c>
      <c r="K84" t="s">
        <v>277</v>
      </c>
      <c r="L84">
        <f>VLOOKUP(K84,Start!$A$15:$B$22,2)</f>
        <v>62</v>
      </c>
    </row>
    <row r="85" spans="1:12" ht="17">
      <c r="A85">
        <v>84</v>
      </c>
      <c r="B85" s="16" t="s">
        <v>25</v>
      </c>
      <c r="C85" s="16">
        <v>76</v>
      </c>
      <c r="D85" s="16"/>
      <c r="E85" s="16" t="s">
        <v>26</v>
      </c>
      <c r="F85" s="16" t="s">
        <v>26</v>
      </c>
      <c r="G85" s="17" t="s">
        <v>110</v>
      </c>
      <c r="H85" s="17">
        <v>134</v>
      </c>
      <c r="I85" t="s">
        <v>247</v>
      </c>
      <c r="J85">
        <v>269</v>
      </c>
      <c r="K85" t="s">
        <v>268</v>
      </c>
      <c r="L85">
        <f>VLOOKUP(K85,Start!$A$15:$B$22,2)</f>
        <v>46</v>
      </c>
    </row>
    <row r="86" spans="1:12" ht="17">
      <c r="A86">
        <v>85</v>
      </c>
      <c r="B86" s="16"/>
      <c r="C86" s="16">
        <v>77</v>
      </c>
      <c r="D86" s="16"/>
      <c r="E86" s="16"/>
      <c r="F86" s="16"/>
      <c r="G86" s="17" t="s">
        <v>111</v>
      </c>
      <c r="H86" s="17">
        <v>138</v>
      </c>
      <c r="I86" t="s">
        <v>247</v>
      </c>
      <c r="J86">
        <v>277</v>
      </c>
      <c r="K86" t="s">
        <v>268</v>
      </c>
      <c r="L86">
        <f>VLOOKUP(K86,Start!$A$15:$B$22,2)</f>
        <v>46</v>
      </c>
    </row>
    <row r="87" spans="1:12" ht="17">
      <c r="A87">
        <v>86</v>
      </c>
      <c r="B87" s="16"/>
      <c r="C87" s="16">
        <v>78</v>
      </c>
      <c r="D87" s="16"/>
      <c r="E87" s="16"/>
      <c r="F87" s="16"/>
      <c r="G87" s="17" t="s">
        <v>112</v>
      </c>
      <c r="H87" s="17">
        <v>16</v>
      </c>
      <c r="I87" t="s">
        <v>247</v>
      </c>
      <c r="J87">
        <v>33</v>
      </c>
      <c r="K87" t="s">
        <v>268</v>
      </c>
      <c r="L87">
        <f>VLOOKUP(K87,Start!$A$15:$B$22,2)</f>
        <v>46</v>
      </c>
    </row>
    <row r="88" spans="1:12" ht="17">
      <c r="A88">
        <v>87</v>
      </c>
      <c r="B88" s="16"/>
      <c r="C88" s="16">
        <v>79</v>
      </c>
      <c r="D88" s="16"/>
      <c r="E88" s="16"/>
      <c r="F88" s="16"/>
      <c r="G88" s="17" t="s">
        <v>113</v>
      </c>
      <c r="H88" s="17">
        <v>50</v>
      </c>
      <c r="I88" t="s">
        <v>247</v>
      </c>
      <c r="J88">
        <v>101</v>
      </c>
      <c r="K88" t="s">
        <v>268</v>
      </c>
      <c r="L88">
        <f>VLOOKUP(K88,Start!$A$15:$B$22,2)</f>
        <v>46</v>
      </c>
    </row>
    <row r="89" spans="1:12" ht="17">
      <c r="A89">
        <v>88</v>
      </c>
      <c r="B89" s="16" t="s">
        <v>25</v>
      </c>
      <c r="C89" s="16">
        <v>80</v>
      </c>
      <c r="D89" s="16"/>
      <c r="E89" s="16" t="s">
        <v>26</v>
      </c>
      <c r="F89" s="16" t="s">
        <v>26</v>
      </c>
      <c r="G89" s="17" t="s">
        <v>114</v>
      </c>
      <c r="H89" s="17">
        <v>1</v>
      </c>
      <c r="I89" t="s">
        <v>247</v>
      </c>
      <c r="J89">
        <v>3</v>
      </c>
      <c r="K89" t="s">
        <v>277</v>
      </c>
      <c r="L89">
        <f>VLOOKUP(K89,Start!$A$15:$B$22,2)</f>
        <v>62</v>
      </c>
    </row>
    <row r="90" spans="1:12" ht="17">
      <c r="A90">
        <v>89</v>
      </c>
      <c r="B90" s="16" t="s">
        <v>25</v>
      </c>
      <c r="C90" s="16">
        <v>81</v>
      </c>
      <c r="D90" s="16"/>
      <c r="E90" s="16" t="s">
        <v>26</v>
      </c>
      <c r="F90" s="16" t="s">
        <v>26</v>
      </c>
      <c r="G90" s="17" t="s">
        <v>115</v>
      </c>
      <c r="H90" s="17">
        <v>82</v>
      </c>
      <c r="I90" t="s">
        <v>247</v>
      </c>
      <c r="J90">
        <v>165</v>
      </c>
      <c r="K90" t="s">
        <v>277</v>
      </c>
      <c r="L90">
        <f>VLOOKUP(K90,Start!$A$15:$B$22,2)</f>
        <v>62</v>
      </c>
    </row>
    <row r="91" spans="1:12" ht="17">
      <c r="A91">
        <v>90</v>
      </c>
      <c r="B91" s="16" t="s">
        <v>25</v>
      </c>
      <c r="C91" s="16">
        <v>82</v>
      </c>
      <c r="D91" s="16"/>
      <c r="E91" s="16" t="s">
        <v>26</v>
      </c>
      <c r="F91" s="16" t="s">
        <v>26</v>
      </c>
      <c r="G91" s="17" t="s">
        <v>116</v>
      </c>
      <c r="H91" s="17">
        <v>156</v>
      </c>
      <c r="I91" t="s">
        <v>247</v>
      </c>
      <c r="J91">
        <v>313</v>
      </c>
      <c r="K91" t="s">
        <v>268</v>
      </c>
      <c r="L91">
        <f>VLOOKUP(K91,Start!$A$15:$B$22,2)</f>
        <v>46</v>
      </c>
    </row>
    <row r="92" spans="1:12" ht="17">
      <c r="A92">
        <v>91</v>
      </c>
      <c r="B92" s="16" t="s">
        <v>25</v>
      </c>
      <c r="C92" s="16">
        <v>83</v>
      </c>
      <c r="D92" s="16"/>
      <c r="E92" s="16" t="s">
        <v>26</v>
      </c>
      <c r="F92" s="16" t="s">
        <v>26</v>
      </c>
      <c r="G92" s="17" t="s">
        <v>117</v>
      </c>
      <c r="H92" s="17">
        <v>68</v>
      </c>
      <c r="I92" t="s">
        <v>247</v>
      </c>
      <c r="J92">
        <v>137</v>
      </c>
      <c r="K92" t="s">
        <v>268</v>
      </c>
      <c r="L92">
        <f>VLOOKUP(K92,Start!$A$15:$B$22,2)</f>
        <v>46</v>
      </c>
    </row>
    <row r="93" spans="1:12" ht="17">
      <c r="A93">
        <v>92</v>
      </c>
      <c r="B93" s="16" t="s">
        <v>25</v>
      </c>
      <c r="C93" s="16">
        <v>84</v>
      </c>
      <c r="D93" s="16"/>
      <c r="E93" s="16" t="s">
        <v>26</v>
      </c>
      <c r="F93" s="16" t="s">
        <v>26</v>
      </c>
      <c r="G93" s="17" t="s">
        <v>118</v>
      </c>
      <c r="H93" s="17">
        <v>84</v>
      </c>
      <c r="I93" t="s">
        <v>247</v>
      </c>
      <c r="J93">
        <v>169</v>
      </c>
      <c r="K93" t="s">
        <v>268</v>
      </c>
      <c r="L93">
        <f>VLOOKUP(K93,Start!$A$15:$B$22,2)</f>
        <v>46</v>
      </c>
    </row>
    <row r="94" spans="1:12" ht="17">
      <c r="A94">
        <v>93</v>
      </c>
      <c r="B94" s="16" t="s">
        <v>25</v>
      </c>
      <c r="C94" s="16">
        <v>85</v>
      </c>
      <c r="D94" s="16"/>
      <c r="E94" s="16" t="s">
        <v>26</v>
      </c>
      <c r="F94" s="16" t="s">
        <v>26</v>
      </c>
      <c r="G94" s="17" t="s">
        <v>119</v>
      </c>
      <c r="H94" s="17">
        <v>41</v>
      </c>
      <c r="I94" t="s">
        <v>247</v>
      </c>
      <c r="J94">
        <v>83</v>
      </c>
      <c r="K94" t="s">
        <v>268</v>
      </c>
      <c r="L94">
        <f>VLOOKUP(K94,Start!$A$15:$B$22,2)</f>
        <v>46</v>
      </c>
    </row>
    <row r="95" spans="1:12" ht="17">
      <c r="A95">
        <v>94</v>
      </c>
      <c r="B95" s="16" t="s">
        <v>25</v>
      </c>
      <c r="C95" s="16">
        <v>86</v>
      </c>
      <c r="D95" s="16"/>
      <c r="E95" s="16" t="s">
        <v>26</v>
      </c>
      <c r="F95" s="16" t="s">
        <v>26</v>
      </c>
      <c r="G95" s="17" t="s">
        <v>120</v>
      </c>
      <c r="H95" s="17">
        <v>144</v>
      </c>
      <c r="I95" t="s">
        <v>247</v>
      </c>
      <c r="J95">
        <v>289</v>
      </c>
      <c r="K95" t="s">
        <v>268</v>
      </c>
      <c r="L95">
        <f>VLOOKUP(K95,Start!$A$15:$B$22,2)</f>
        <v>46</v>
      </c>
    </row>
    <row r="96" spans="1:12" ht="17">
      <c r="A96">
        <v>95</v>
      </c>
      <c r="B96" s="16" t="s">
        <v>25</v>
      </c>
      <c r="C96" s="16">
        <v>87</v>
      </c>
      <c r="D96" s="16"/>
      <c r="E96" s="16" t="s">
        <v>26</v>
      </c>
      <c r="F96" s="16" t="s">
        <v>26</v>
      </c>
      <c r="G96" s="17" t="s">
        <v>121</v>
      </c>
      <c r="H96" s="17">
        <v>26</v>
      </c>
      <c r="I96" t="s">
        <v>247</v>
      </c>
      <c r="J96">
        <v>53</v>
      </c>
      <c r="K96" t="s">
        <v>268</v>
      </c>
      <c r="L96">
        <f>VLOOKUP(K96,Start!$A$15:$B$22,2)</f>
        <v>46</v>
      </c>
    </row>
    <row r="97" spans="1:12" ht="17">
      <c r="A97">
        <v>96</v>
      </c>
      <c r="B97" s="16" t="s">
        <v>25</v>
      </c>
      <c r="C97" s="16">
        <v>88</v>
      </c>
      <c r="D97" s="16"/>
      <c r="E97" s="16" t="s">
        <v>26</v>
      </c>
      <c r="F97" s="16" t="s">
        <v>26</v>
      </c>
      <c r="G97" s="17" t="s">
        <v>122</v>
      </c>
      <c r="H97" s="17">
        <v>96</v>
      </c>
      <c r="I97" t="s">
        <v>247</v>
      </c>
      <c r="J97">
        <v>193</v>
      </c>
      <c r="K97" t="s">
        <v>268</v>
      </c>
      <c r="L97">
        <f>VLOOKUP(K97,Start!$A$15:$B$22,2)</f>
        <v>46</v>
      </c>
    </row>
    <row r="98" spans="1:12" ht="17">
      <c r="A98">
        <v>97</v>
      </c>
      <c r="B98" s="16" t="s">
        <v>25</v>
      </c>
      <c r="C98" s="16">
        <v>89</v>
      </c>
      <c r="D98" s="16"/>
      <c r="E98" s="16" t="s">
        <v>26</v>
      </c>
      <c r="F98" s="16" t="s">
        <v>26</v>
      </c>
      <c r="G98" s="17" t="s">
        <v>123</v>
      </c>
      <c r="H98" s="17">
        <v>23</v>
      </c>
      <c r="I98" t="s">
        <v>247</v>
      </c>
      <c r="J98">
        <v>47</v>
      </c>
      <c r="K98" t="s">
        <v>277</v>
      </c>
      <c r="L98">
        <f>VLOOKUP(K98,Start!$A$15:$B$22,2)</f>
        <v>62</v>
      </c>
    </row>
    <row r="99" spans="1:12" ht="17">
      <c r="A99">
        <v>98</v>
      </c>
      <c r="B99" s="16" t="s">
        <v>25</v>
      </c>
      <c r="C99" s="16">
        <v>90</v>
      </c>
      <c r="D99" s="16"/>
      <c r="E99" s="16" t="s">
        <v>26</v>
      </c>
      <c r="F99" s="16" t="s">
        <v>26</v>
      </c>
      <c r="G99" s="17" t="s">
        <v>124</v>
      </c>
      <c r="H99" s="17">
        <v>75</v>
      </c>
      <c r="I99" t="s">
        <v>247</v>
      </c>
      <c r="J99">
        <v>151</v>
      </c>
      <c r="K99" t="s">
        <v>268</v>
      </c>
      <c r="L99">
        <f>VLOOKUP(K99,Start!$A$15:$B$22,2)</f>
        <v>46</v>
      </c>
    </row>
    <row r="100" spans="1:12" ht="17">
      <c r="A100">
        <v>99</v>
      </c>
      <c r="B100" s="16" t="s">
        <v>25</v>
      </c>
      <c r="C100" s="16">
        <v>91</v>
      </c>
      <c r="D100" s="16"/>
      <c r="E100" s="16" t="s">
        <v>26</v>
      </c>
      <c r="F100" s="16" t="s">
        <v>26</v>
      </c>
      <c r="G100" s="17" t="s">
        <v>125</v>
      </c>
      <c r="H100" s="17">
        <v>65</v>
      </c>
      <c r="I100" t="s">
        <v>247</v>
      </c>
      <c r="J100">
        <v>131</v>
      </c>
      <c r="K100" t="s">
        <v>277</v>
      </c>
      <c r="L100">
        <f>VLOOKUP(K100,Start!$A$15:$B$22,2)</f>
        <v>62</v>
      </c>
    </row>
    <row r="101" spans="1:12" ht="17">
      <c r="A101">
        <v>100</v>
      </c>
      <c r="B101" s="16" t="s">
        <v>25</v>
      </c>
      <c r="C101" s="16">
        <v>92</v>
      </c>
      <c r="D101" s="16"/>
      <c r="E101" s="16" t="s">
        <v>26</v>
      </c>
      <c r="F101" s="16" t="s">
        <v>26</v>
      </c>
      <c r="G101" s="17" t="s">
        <v>126</v>
      </c>
      <c r="H101" s="17">
        <v>76</v>
      </c>
      <c r="I101" t="s">
        <v>247</v>
      </c>
      <c r="J101">
        <v>153</v>
      </c>
      <c r="K101" t="s">
        <v>268</v>
      </c>
      <c r="L101">
        <f>VLOOKUP(K101,Start!$A$15:$B$22,2)</f>
        <v>46</v>
      </c>
    </row>
    <row r="102" spans="1:12" ht="17">
      <c r="A102">
        <v>101</v>
      </c>
      <c r="B102" s="16" t="s">
        <v>25</v>
      </c>
      <c r="C102" s="16">
        <v>93</v>
      </c>
      <c r="D102" s="16"/>
      <c r="E102" s="16" t="s">
        <v>26</v>
      </c>
      <c r="F102" s="16" t="s">
        <v>26</v>
      </c>
      <c r="G102" s="17" t="s">
        <v>127</v>
      </c>
      <c r="H102" s="17">
        <v>145</v>
      </c>
      <c r="I102" t="s">
        <v>247</v>
      </c>
      <c r="J102">
        <v>291</v>
      </c>
      <c r="K102" t="s">
        <v>268</v>
      </c>
      <c r="L102">
        <f>VLOOKUP(K102,Start!$A$15:$B$22,2)</f>
        <v>46</v>
      </c>
    </row>
    <row r="103" spans="1:12" ht="17">
      <c r="A103">
        <v>102</v>
      </c>
      <c r="B103" s="16" t="s">
        <v>25</v>
      </c>
      <c r="C103" s="16">
        <v>94</v>
      </c>
      <c r="D103" s="16"/>
      <c r="E103" s="16" t="s">
        <v>26</v>
      </c>
      <c r="F103" s="16" t="s">
        <v>26</v>
      </c>
      <c r="G103" s="17" t="s">
        <v>128</v>
      </c>
      <c r="H103" s="17">
        <v>154</v>
      </c>
      <c r="I103" t="s">
        <v>247</v>
      </c>
      <c r="J103">
        <v>309</v>
      </c>
      <c r="K103" t="s">
        <v>268</v>
      </c>
      <c r="L103">
        <f>VLOOKUP(K103,Start!$A$15:$B$22,2)</f>
        <v>46</v>
      </c>
    </row>
    <row r="104" spans="1:12" ht="17">
      <c r="A104">
        <v>103</v>
      </c>
      <c r="B104" s="16" t="s">
        <v>25</v>
      </c>
      <c r="C104" s="16">
        <v>95</v>
      </c>
      <c r="D104" s="16"/>
      <c r="E104" s="16" t="s">
        <v>26</v>
      </c>
      <c r="F104" s="16" t="s">
        <v>26</v>
      </c>
      <c r="G104" s="17" t="s">
        <v>129</v>
      </c>
      <c r="H104" s="17">
        <v>3</v>
      </c>
      <c r="I104" t="s">
        <v>247</v>
      </c>
      <c r="J104">
        <v>7</v>
      </c>
      <c r="K104" t="s">
        <v>268</v>
      </c>
      <c r="L104">
        <f>VLOOKUP(K104,Start!$A$15:$B$22,2)</f>
        <v>46</v>
      </c>
    </row>
    <row r="105" spans="1:12" ht="17">
      <c r="A105">
        <v>104</v>
      </c>
      <c r="B105" s="16" t="s">
        <v>25</v>
      </c>
      <c r="C105" s="16">
        <v>96</v>
      </c>
      <c r="D105" s="16"/>
      <c r="E105" s="16" t="s">
        <v>26</v>
      </c>
      <c r="F105" s="16" t="s">
        <v>26</v>
      </c>
      <c r="G105" s="17" t="s">
        <v>130</v>
      </c>
      <c r="H105" s="17">
        <v>146</v>
      </c>
      <c r="I105" t="s">
        <v>247</v>
      </c>
      <c r="J105">
        <v>293</v>
      </c>
      <c r="K105" t="s">
        <v>276</v>
      </c>
      <c r="L105">
        <f>VLOOKUP(K105,Start!$A$15:$B$22,2)</f>
        <v>55</v>
      </c>
    </row>
    <row r="106" spans="1:12" ht="17">
      <c r="A106">
        <v>105</v>
      </c>
      <c r="B106" s="16" t="s">
        <v>25</v>
      </c>
      <c r="C106" s="16">
        <v>97</v>
      </c>
      <c r="D106" s="16"/>
      <c r="E106" s="16" t="s">
        <v>26</v>
      </c>
      <c r="F106" s="16" t="s">
        <v>26</v>
      </c>
      <c r="G106" s="17" t="s">
        <v>131</v>
      </c>
      <c r="H106" s="17">
        <v>106</v>
      </c>
      <c r="I106" t="s">
        <v>247</v>
      </c>
      <c r="J106">
        <v>213</v>
      </c>
      <c r="K106" t="s">
        <v>268</v>
      </c>
      <c r="L106">
        <f>VLOOKUP(K106,Start!$A$15:$B$22,2)</f>
        <v>46</v>
      </c>
    </row>
    <row r="107" spans="1:12" ht="17">
      <c r="A107">
        <v>106</v>
      </c>
      <c r="B107" s="16"/>
      <c r="C107" s="16">
        <v>98</v>
      </c>
      <c r="D107" s="16"/>
      <c r="E107" s="16"/>
      <c r="F107" s="16"/>
      <c r="G107" s="17" t="s">
        <v>132</v>
      </c>
      <c r="H107" s="17">
        <v>86</v>
      </c>
      <c r="I107" t="s">
        <v>247</v>
      </c>
      <c r="J107">
        <v>173</v>
      </c>
      <c r="K107" t="s">
        <v>268</v>
      </c>
      <c r="L107">
        <f>VLOOKUP(K107,Start!$A$15:$B$22,2)</f>
        <v>46</v>
      </c>
    </row>
    <row r="108" spans="1:12" ht="17">
      <c r="A108">
        <v>107</v>
      </c>
      <c r="B108" s="16"/>
      <c r="C108" s="16">
        <v>99</v>
      </c>
      <c r="D108" s="16"/>
      <c r="E108" s="16"/>
      <c r="F108" s="16"/>
      <c r="G108" s="17" t="s">
        <v>133</v>
      </c>
      <c r="H108" s="17">
        <v>206</v>
      </c>
      <c r="I108" t="s">
        <v>247</v>
      </c>
      <c r="J108">
        <v>413</v>
      </c>
      <c r="K108" t="s">
        <v>268</v>
      </c>
      <c r="L108">
        <f>VLOOKUP(K108,Start!$A$15:$B$22,2)</f>
        <v>46</v>
      </c>
    </row>
    <row r="109" spans="1:12" ht="17">
      <c r="A109">
        <v>108</v>
      </c>
      <c r="B109" s="16"/>
      <c r="C109" s="16">
        <v>100</v>
      </c>
      <c r="D109" s="16"/>
      <c r="E109" s="16"/>
      <c r="F109" s="16"/>
      <c r="G109" s="17" t="s">
        <v>134</v>
      </c>
      <c r="H109" s="17">
        <v>165</v>
      </c>
      <c r="I109" t="s">
        <v>247</v>
      </c>
      <c r="J109">
        <v>331</v>
      </c>
      <c r="K109" t="s">
        <v>268</v>
      </c>
      <c r="L109">
        <f>VLOOKUP(K109,Start!$A$15:$B$22,2)</f>
        <v>46</v>
      </c>
    </row>
    <row r="110" spans="1:12" ht="17">
      <c r="A110">
        <v>109</v>
      </c>
      <c r="B110" s="16" t="s">
        <v>25</v>
      </c>
      <c r="C110" s="16">
        <v>101</v>
      </c>
      <c r="D110" s="16"/>
      <c r="E110" s="16" t="s">
        <v>26</v>
      </c>
      <c r="F110" s="16" t="s">
        <v>26</v>
      </c>
      <c r="G110" s="17" t="s">
        <v>135</v>
      </c>
      <c r="H110" s="17">
        <v>80</v>
      </c>
      <c r="I110" t="s">
        <v>247</v>
      </c>
      <c r="J110">
        <v>161</v>
      </c>
      <c r="K110" t="s">
        <v>268</v>
      </c>
      <c r="L110">
        <f>VLOOKUP(K110,Start!$A$15:$B$22,2)</f>
        <v>46</v>
      </c>
    </row>
    <row r="111" spans="1:12" ht="17">
      <c r="A111">
        <v>110</v>
      </c>
      <c r="B111" s="16" t="s">
        <v>25</v>
      </c>
      <c r="C111" s="16">
        <v>102</v>
      </c>
      <c r="D111" s="16"/>
      <c r="E111" s="16" t="s">
        <v>26</v>
      </c>
      <c r="F111" s="16" t="s">
        <v>26</v>
      </c>
      <c r="G111" s="17" t="s">
        <v>136</v>
      </c>
      <c r="H111" s="17">
        <v>2</v>
      </c>
      <c r="I111" t="s">
        <v>247</v>
      </c>
      <c r="J111">
        <v>5</v>
      </c>
      <c r="K111" t="s">
        <v>268</v>
      </c>
      <c r="L111">
        <f>VLOOKUP(K111,Start!$A$15:$B$22,2)</f>
        <v>46</v>
      </c>
    </row>
    <row r="112" spans="1:12" ht="17">
      <c r="A112">
        <v>111</v>
      </c>
      <c r="B112" s="16" t="s">
        <v>25</v>
      </c>
      <c r="C112" s="16">
        <v>103</v>
      </c>
      <c r="D112" s="16"/>
      <c r="E112" s="16" t="s">
        <v>26</v>
      </c>
      <c r="F112" s="16" t="s">
        <v>26</v>
      </c>
      <c r="G112" s="17" t="s">
        <v>137</v>
      </c>
      <c r="H112" s="17">
        <v>48</v>
      </c>
      <c r="I112" t="s">
        <v>247</v>
      </c>
      <c r="J112">
        <v>97</v>
      </c>
      <c r="K112" t="s">
        <v>277</v>
      </c>
      <c r="L112">
        <f>VLOOKUP(K112,Start!$A$15:$B$22,2)</f>
        <v>62</v>
      </c>
    </row>
    <row r="113" spans="1:12" ht="17">
      <c r="A113">
        <v>112</v>
      </c>
      <c r="B113" s="16" t="s">
        <v>25</v>
      </c>
      <c r="C113" s="16">
        <v>104</v>
      </c>
      <c r="D113" s="16"/>
      <c r="E113" s="16" t="s">
        <v>26</v>
      </c>
      <c r="F113" s="16" t="s">
        <v>26</v>
      </c>
      <c r="G113" s="17" t="s">
        <v>138</v>
      </c>
      <c r="H113" s="17">
        <v>118</v>
      </c>
      <c r="I113" t="s">
        <v>247</v>
      </c>
      <c r="J113">
        <v>237</v>
      </c>
      <c r="K113" t="s">
        <v>268</v>
      </c>
      <c r="L113">
        <f>VLOOKUP(K113,Start!$A$15:$B$22,2)</f>
        <v>46</v>
      </c>
    </row>
    <row r="114" spans="1:12" ht="17">
      <c r="A114">
        <v>113</v>
      </c>
      <c r="B114" s="16" t="s">
        <v>25</v>
      </c>
      <c r="C114" s="16">
        <v>105</v>
      </c>
      <c r="D114" s="16"/>
      <c r="E114" s="16" t="s">
        <v>26</v>
      </c>
      <c r="F114" s="16" t="s">
        <v>26</v>
      </c>
      <c r="G114" s="17" t="s">
        <v>139</v>
      </c>
      <c r="H114" s="17">
        <v>100</v>
      </c>
      <c r="I114" t="s">
        <v>247</v>
      </c>
      <c r="J114">
        <v>201</v>
      </c>
      <c r="K114" t="s">
        <v>268</v>
      </c>
      <c r="L114">
        <f>VLOOKUP(K114,Start!$A$15:$B$22,2)</f>
        <v>46</v>
      </c>
    </row>
    <row r="115" spans="1:12" ht="17">
      <c r="A115">
        <v>114</v>
      </c>
      <c r="B115" s="16" t="s">
        <v>25</v>
      </c>
      <c r="C115" s="16">
        <v>106</v>
      </c>
      <c r="D115" s="16"/>
      <c r="E115" s="16" t="s">
        <v>26</v>
      </c>
      <c r="F115" s="16" t="s">
        <v>26</v>
      </c>
      <c r="G115" s="17" t="s">
        <v>140</v>
      </c>
      <c r="H115" s="17">
        <v>62</v>
      </c>
      <c r="I115" t="s">
        <v>247</v>
      </c>
      <c r="J115">
        <v>125</v>
      </c>
      <c r="K115" t="s">
        <v>268</v>
      </c>
      <c r="L115">
        <f>VLOOKUP(K115,Start!$A$15:$B$22,2)</f>
        <v>46</v>
      </c>
    </row>
    <row r="116" spans="1:12" ht="17">
      <c r="A116">
        <v>115</v>
      </c>
      <c r="B116" s="16" t="s">
        <v>25</v>
      </c>
      <c r="C116" s="16">
        <v>107</v>
      </c>
      <c r="D116" s="16"/>
      <c r="E116" s="16" t="s">
        <v>26</v>
      </c>
      <c r="F116" s="16" t="s">
        <v>26</v>
      </c>
      <c r="G116" s="17" t="s">
        <v>141</v>
      </c>
      <c r="H116" s="17">
        <v>213</v>
      </c>
      <c r="I116" t="s">
        <v>247</v>
      </c>
      <c r="J116">
        <v>427</v>
      </c>
      <c r="K116" t="s">
        <v>268</v>
      </c>
      <c r="L116">
        <f>VLOOKUP(K116,Start!$A$15:$B$22,2)</f>
        <v>46</v>
      </c>
    </row>
    <row r="117" spans="1:12" ht="17">
      <c r="A117">
        <v>116</v>
      </c>
      <c r="B117" s="16" t="s">
        <v>142</v>
      </c>
      <c r="C117" s="16">
        <v>108</v>
      </c>
      <c r="D117" s="16">
        <v>1</v>
      </c>
      <c r="E117" s="16" t="s">
        <v>26</v>
      </c>
      <c r="F117" s="16" t="s">
        <v>26</v>
      </c>
      <c r="G117" s="17" t="s">
        <v>143</v>
      </c>
      <c r="H117" s="17">
        <v>6</v>
      </c>
      <c r="I117" t="s">
        <v>247</v>
      </c>
      <c r="J117">
        <v>13</v>
      </c>
      <c r="K117" t="s">
        <v>268</v>
      </c>
      <c r="L117">
        <f>VLOOKUP(K117,Start!$A$15:$B$22,2)</f>
        <v>46</v>
      </c>
    </row>
    <row r="118" spans="1:12" ht="17">
      <c r="A118">
        <v>117</v>
      </c>
      <c r="B118" s="16" t="s">
        <v>142</v>
      </c>
      <c r="C118" s="16">
        <v>109</v>
      </c>
      <c r="D118" s="16">
        <v>2</v>
      </c>
      <c r="E118" s="16"/>
      <c r="F118" s="16"/>
      <c r="G118" s="17" t="s">
        <v>144</v>
      </c>
      <c r="H118" s="17">
        <v>7</v>
      </c>
      <c r="I118" t="s">
        <v>247</v>
      </c>
      <c r="J118">
        <v>15</v>
      </c>
      <c r="K118" t="s">
        <v>268</v>
      </c>
      <c r="L118">
        <f>VLOOKUP(K118,Start!$A$15:$B$22,2)</f>
        <v>46</v>
      </c>
    </row>
    <row r="119" spans="1:12" ht="17">
      <c r="A119">
        <v>118</v>
      </c>
      <c r="B119" s="16" t="s">
        <v>142</v>
      </c>
      <c r="C119" s="16">
        <v>110</v>
      </c>
      <c r="D119" s="16">
        <v>3</v>
      </c>
      <c r="E119" s="16"/>
      <c r="F119" s="16"/>
      <c r="G119" s="17" t="s">
        <v>145</v>
      </c>
      <c r="H119" s="17">
        <v>8</v>
      </c>
      <c r="I119" t="s">
        <v>247</v>
      </c>
      <c r="J119">
        <v>17</v>
      </c>
      <c r="K119" t="s">
        <v>268</v>
      </c>
      <c r="L119">
        <f>VLOOKUP(K119,Start!$A$15:$B$22,2)</f>
        <v>46</v>
      </c>
    </row>
    <row r="120" spans="1:12" ht="17">
      <c r="A120">
        <v>119</v>
      </c>
      <c r="B120" s="16" t="s">
        <v>142</v>
      </c>
      <c r="C120" s="16">
        <v>111</v>
      </c>
      <c r="D120" s="16">
        <v>4</v>
      </c>
      <c r="E120" s="16"/>
      <c r="F120" s="16"/>
      <c r="G120" s="17" t="s">
        <v>146</v>
      </c>
      <c r="H120" s="17">
        <v>9</v>
      </c>
      <c r="I120" t="s">
        <v>247</v>
      </c>
      <c r="J120">
        <v>19</v>
      </c>
      <c r="K120" t="s">
        <v>281</v>
      </c>
      <c r="L120">
        <f>VLOOKUP(K120,Start!$A$15:$B$22,2)</f>
        <v>29</v>
      </c>
    </row>
    <row r="121" spans="1:12" ht="17">
      <c r="A121">
        <v>120</v>
      </c>
      <c r="B121" s="16" t="s">
        <v>142</v>
      </c>
      <c r="C121" s="16">
        <v>112</v>
      </c>
      <c r="D121" s="16">
        <v>5</v>
      </c>
      <c r="E121" s="16"/>
      <c r="F121" s="16"/>
      <c r="G121" s="17" t="s">
        <v>147</v>
      </c>
      <c r="H121" s="17">
        <v>10</v>
      </c>
      <c r="I121" t="s">
        <v>247</v>
      </c>
      <c r="J121">
        <v>21</v>
      </c>
      <c r="K121" t="s">
        <v>276</v>
      </c>
      <c r="L121">
        <f>VLOOKUP(K121,Start!$A$15:$B$22,2)</f>
        <v>55</v>
      </c>
    </row>
    <row r="122" spans="1:12" ht="17">
      <c r="A122">
        <v>121</v>
      </c>
      <c r="B122" s="16" t="s">
        <v>142</v>
      </c>
      <c r="C122" s="16">
        <v>113</v>
      </c>
      <c r="D122" s="16">
        <v>6</v>
      </c>
      <c r="E122" s="16"/>
      <c r="F122" s="16"/>
      <c r="G122" s="17" t="s">
        <v>148</v>
      </c>
      <c r="H122" s="17">
        <v>13</v>
      </c>
      <c r="I122" t="s">
        <v>247</v>
      </c>
      <c r="J122">
        <v>27</v>
      </c>
      <c r="K122" t="s">
        <v>281</v>
      </c>
      <c r="L122">
        <f>VLOOKUP(K122,Start!$A$15:$B$22,2)</f>
        <v>29</v>
      </c>
    </row>
    <row r="123" spans="1:12" ht="17">
      <c r="A123">
        <v>122</v>
      </c>
      <c r="B123" s="16" t="s">
        <v>142</v>
      </c>
      <c r="C123" s="16">
        <v>114</v>
      </c>
      <c r="D123" s="16">
        <v>7</v>
      </c>
      <c r="E123" s="16"/>
      <c r="F123" s="16"/>
      <c r="G123" s="17" t="s">
        <v>149</v>
      </c>
      <c r="H123" s="17">
        <v>15</v>
      </c>
      <c r="I123" t="s">
        <v>247</v>
      </c>
      <c r="J123">
        <v>31</v>
      </c>
      <c r="K123" t="s">
        <v>268</v>
      </c>
      <c r="L123">
        <f>VLOOKUP(K123,Start!$A$15:$B$22,2)</f>
        <v>46</v>
      </c>
    </row>
    <row r="124" spans="1:12" ht="17">
      <c r="A124">
        <v>123</v>
      </c>
      <c r="B124" s="16" t="s">
        <v>142</v>
      </c>
      <c r="C124" s="16">
        <v>115</v>
      </c>
      <c r="D124" s="16">
        <v>8</v>
      </c>
      <c r="E124" s="16"/>
      <c r="F124" s="16"/>
      <c r="G124" s="17" t="s">
        <v>150</v>
      </c>
      <c r="H124" s="17">
        <v>17</v>
      </c>
      <c r="I124" t="s">
        <v>247</v>
      </c>
      <c r="J124">
        <v>35</v>
      </c>
      <c r="K124" t="s">
        <v>268</v>
      </c>
      <c r="L124">
        <f>VLOOKUP(K124,Start!$A$15:$B$22,2)</f>
        <v>46</v>
      </c>
    </row>
    <row r="125" spans="1:12" ht="17">
      <c r="A125">
        <v>124</v>
      </c>
      <c r="B125" s="16" t="s">
        <v>142</v>
      </c>
      <c r="C125" s="16">
        <v>116</v>
      </c>
      <c r="D125" s="16">
        <v>9</v>
      </c>
      <c r="E125" s="16"/>
      <c r="F125" s="16"/>
      <c r="G125" s="17" t="s">
        <v>151</v>
      </c>
      <c r="H125" s="17">
        <v>18</v>
      </c>
      <c r="I125" t="s">
        <v>247</v>
      </c>
      <c r="J125">
        <v>37</v>
      </c>
      <c r="K125" t="s">
        <v>268</v>
      </c>
      <c r="L125">
        <f>VLOOKUP(K125,Start!$A$15:$B$22,2)</f>
        <v>46</v>
      </c>
    </row>
    <row r="126" spans="1:12" ht="17">
      <c r="A126">
        <v>125</v>
      </c>
      <c r="B126" s="16" t="s">
        <v>142</v>
      </c>
      <c r="C126" s="16">
        <v>117</v>
      </c>
      <c r="D126" s="16">
        <v>10</v>
      </c>
      <c r="E126" s="16"/>
      <c r="F126" s="16"/>
      <c r="G126" s="17" t="s">
        <v>152</v>
      </c>
      <c r="H126" s="17">
        <v>22</v>
      </c>
      <c r="I126" t="s">
        <v>247</v>
      </c>
      <c r="J126">
        <v>45</v>
      </c>
      <c r="K126" t="s">
        <v>281</v>
      </c>
      <c r="L126">
        <f>VLOOKUP(K126,Start!$A$15:$B$22,2)</f>
        <v>29</v>
      </c>
    </row>
    <row r="127" spans="1:12" ht="17">
      <c r="A127">
        <v>126</v>
      </c>
      <c r="B127" s="16" t="s">
        <v>142</v>
      </c>
      <c r="C127" s="16">
        <v>118</v>
      </c>
      <c r="D127" s="16">
        <v>11</v>
      </c>
      <c r="E127" s="16"/>
      <c r="F127" s="16"/>
      <c r="G127" s="17" t="s">
        <v>153</v>
      </c>
      <c r="H127" s="17">
        <v>24</v>
      </c>
      <c r="I127" t="s">
        <v>247</v>
      </c>
      <c r="J127">
        <v>49</v>
      </c>
      <c r="K127" t="s">
        <v>268</v>
      </c>
      <c r="L127">
        <f>VLOOKUP(K127,Start!$A$15:$B$22,2)</f>
        <v>46</v>
      </c>
    </row>
    <row r="128" spans="1:12" ht="17">
      <c r="A128">
        <v>127</v>
      </c>
      <c r="B128" s="16" t="s">
        <v>142</v>
      </c>
      <c r="C128" s="16">
        <v>119</v>
      </c>
      <c r="D128" s="16">
        <v>12</v>
      </c>
      <c r="E128" s="16"/>
      <c r="F128" s="16"/>
      <c r="G128" s="17" t="s">
        <v>154</v>
      </c>
      <c r="H128" s="17">
        <v>25</v>
      </c>
      <c r="I128" t="s">
        <v>247</v>
      </c>
      <c r="J128">
        <v>51</v>
      </c>
      <c r="K128" t="s">
        <v>268</v>
      </c>
      <c r="L128">
        <f>VLOOKUP(K128,Start!$A$15:$B$22,2)</f>
        <v>46</v>
      </c>
    </row>
    <row r="129" spans="1:12" ht="17">
      <c r="A129">
        <v>128</v>
      </c>
      <c r="B129" s="16" t="s">
        <v>142</v>
      </c>
      <c r="C129" s="16">
        <v>120</v>
      </c>
      <c r="D129" s="16">
        <v>13</v>
      </c>
      <c r="E129" s="16"/>
      <c r="F129" s="16"/>
      <c r="G129" s="17" t="s">
        <v>155</v>
      </c>
      <c r="H129" s="17">
        <v>29</v>
      </c>
      <c r="I129" t="s">
        <v>247</v>
      </c>
      <c r="J129">
        <v>59</v>
      </c>
      <c r="K129" t="s">
        <v>268</v>
      </c>
      <c r="L129">
        <f>VLOOKUP(K129,Start!$A$15:$B$22,2)</f>
        <v>46</v>
      </c>
    </row>
    <row r="130" spans="1:12" ht="17">
      <c r="A130">
        <v>129</v>
      </c>
      <c r="B130" s="16" t="s">
        <v>142</v>
      </c>
      <c r="C130" s="16">
        <v>121</v>
      </c>
      <c r="D130" s="16">
        <v>14</v>
      </c>
      <c r="E130" s="16"/>
      <c r="F130" s="16"/>
      <c r="G130" s="17" t="s">
        <v>156</v>
      </c>
      <c r="H130" s="17">
        <v>30</v>
      </c>
      <c r="I130" t="s">
        <v>247</v>
      </c>
      <c r="J130">
        <v>61</v>
      </c>
      <c r="K130" t="s">
        <v>281</v>
      </c>
      <c r="L130">
        <f>VLOOKUP(K130,Start!$A$15:$B$22,2)</f>
        <v>29</v>
      </c>
    </row>
    <row r="131" spans="1:12" ht="17">
      <c r="A131">
        <v>130</v>
      </c>
      <c r="B131" s="16" t="s">
        <v>142</v>
      </c>
      <c r="C131" s="16">
        <v>122</v>
      </c>
      <c r="D131" s="16">
        <v>15</v>
      </c>
      <c r="E131" s="16"/>
      <c r="F131" s="16"/>
      <c r="G131" s="17" t="s">
        <v>157</v>
      </c>
      <c r="H131" s="17">
        <v>31</v>
      </c>
      <c r="I131" t="s">
        <v>247</v>
      </c>
      <c r="J131">
        <v>63</v>
      </c>
      <c r="K131" t="s">
        <v>277</v>
      </c>
      <c r="L131">
        <f>VLOOKUP(K131,Start!$A$15:$B$22,2)</f>
        <v>62</v>
      </c>
    </row>
    <row r="132" spans="1:12" ht="17">
      <c r="A132">
        <v>131</v>
      </c>
      <c r="B132" s="16" t="s">
        <v>142</v>
      </c>
      <c r="C132" s="16">
        <v>123</v>
      </c>
      <c r="D132" s="16">
        <v>16</v>
      </c>
      <c r="E132" s="16"/>
      <c r="F132" s="16"/>
      <c r="G132" s="17" t="s">
        <v>158</v>
      </c>
      <c r="H132" s="17">
        <v>32</v>
      </c>
      <c r="I132" t="s">
        <v>247</v>
      </c>
      <c r="J132">
        <v>65</v>
      </c>
      <c r="K132" t="s">
        <v>268</v>
      </c>
      <c r="L132">
        <f>VLOOKUP(K132,Start!$A$15:$B$22,2)</f>
        <v>46</v>
      </c>
    </row>
    <row r="133" spans="1:12" ht="17">
      <c r="A133">
        <v>132</v>
      </c>
      <c r="B133" s="16" t="s">
        <v>142</v>
      </c>
      <c r="C133" s="16">
        <v>124</v>
      </c>
      <c r="D133" s="16">
        <v>17</v>
      </c>
      <c r="E133" s="16"/>
      <c r="F133" s="16"/>
      <c r="G133" s="17" t="s">
        <v>159</v>
      </c>
      <c r="H133" s="17">
        <v>35</v>
      </c>
      <c r="I133" t="s">
        <v>247</v>
      </c>
      <c r="J133">
        <v>71</v>
      </c>
      <c r="K133" t="s">
        <v>268</v>
      </c>
      <c r="L133">
        <f>VLOOKUP(K133,Start!$A$15:$B$22,2)</f>
        <v>46</v>
      </c>
    </row>
    <row r="134" spans="1:12" ht="17">
      <c r="A134">
        <v>133</v>
      </c>
      <c r="B134" s="16" t="s">
        <v>142</v>
      </c>
      <c r="C134" s="16">
        <v>125</v>
      </c>
      <c r="D134" s="16">
        <v>18</v>
      </c>
      <c r="E134" s="16"/>
      <c r="F134" s="16"/>
      <c r="G134" s="17" t="s">
        <v>160</v>
      </c>
      <c r="H134" s="17">
        <v>36</v>
      </c>
      <c r="I134" t="s">
        <v>247</v>
      </c>
      <c r="J134">
        <v>73</v>
      </c>
      <c r="K134" t="s">
        <v>268</v>
      </c>
      <c r="L134">
        <f>VLOOKUP(K134,Start!$A$15:$B$22,2)</f>
        <v>46</v>
      </c>
    </row>
    <row r="135" spans="1:12" ht="17">
      <c r="A135">
        <v>134</v>
      </c>
      <c r="B135" s="16" t="s">
        <v>142</v>
      </c>
      <c r="C135" s="16">
        <v>126</v>
      </c>
      <c r="D135" s="16">
        <v>19</v>
      </c>
      <c r="E135" s="16"/>
      <c r="F135" s="16"/>
      <c r="G135" s="17" t="s">
        <v>161</v>
      </c>
      <c r="H135" s="17">
        <v>39</v>
      </c>
      <c r="I135" t="s">
        <v>247</v>
      </c>
      <c r="J135">
        <v>79</v>
      </c>
      <c r="K135" t="s">
        <v>281</v>
      </c>
      <c r="L135">
        <f>VLOOKUP(K135,Start!$A$15:$B$22,2)</f>
        <v>29</v>
      </c>
    </row>
    <row r="136" spans="1:12" ht="17">
      <c r="A136">
        <v>135</v>
      </c>
      <c r="B136" s="16" t="s">
        <v>142</v>
      </c>
      <c r="C136" s="16">
        <v>127</v>
      </c>
      <c r="D136" s="16">
        <v>20</v>
      </c>
      <c r="E136" s="16"/>
      <c r="F136" s="16"/>
      <c r="G136" s="17" t="s">
        <v>162</v>
      </c>
      <c r="H136" s="17">
        <v>43</v>
      </c>
      <c r="I136" t="s">
        <v>247</v>
      </c>
      <c r="J136">
        <v>87</v>
      </c>
      <c r="K136" t="s">
        <v>268</v>
      </c>
      <c r="L136">
        <f>VLOOKUP(K136,Start!$A$15:$B$22,2)</f>
        <v>46</v>
      </c>
    </row>
    <row r="137" spans="1:12" ht="17">
      <c r="A137">
        <v>136</v>
      </c>
      <c r="B137" s="16" t="s">
        <v>142</v>
      </c>
      <c r="C137" s="16">
        <v>128</v>
      </c>
      <c r="D137" s="16">
        <v>21</v>
      </c>
      <c r="E137" s="16"/>
      <c r="F137" s="16"/>
      <c r="G137" s="17" t="s">
        <v>163</v>
      </c>
      <c r="H137" s="17">
        <v>44</v>
      </c>
      <c r="I137" t="s">
        <v>247</v>
      </c>
      <c r="J137">
        <v>89</v>
      </c>
      <c r="K137" t="s">
        <v>276</v>
      </c>
      <c r="L137">
        <f>VLOOKUP(K137,Start!$A$15:$B$22,2)</f>
        <v>55</v>
      </c>
    </row>
    <row r="138" spans="1:12" ht="17">
      <c r="A138">
        <v>137</v>
      </c>
      <c r="B138" s="16" t="s">
        <v>142</v>
      </c>
      <c r="C138" s="16">
        <v>129</v>
      </c>
      <c r="D138" s="16">
        <v>22</v>
      </c>
      <c r="E138" s="16"/>
      <c r="F138" s="16"/>
      <c r="G138" s="17" t="s">
        <v>164</v>
      </c>
      <c r="H138" s="17">
        <v>53</v>
      </c>
      <c r="I138" t="s">
        <v>247</v>
      </c>
      <c r="J138">
        <v>107</v>
      </c>
      <c r="K138" t="s">
        <v>268</v>
      </c>
      <c r="L138">
        <f>VLOOKUP(K138,Start!$A$15:$B$22,2)</f>
        <v>46</v>
      </c>
    </row>
    <row r="139" spans="1:12" ht="17">
      <c r="A139">
        <v>138</v>
      </c>
      <c r="B139" s="16" t="s">
        <v>142</v>
      </c>
      <c r="C139" s="16">
        <v>130</v>
      </c>
      <c r="D139" s="16">
        <v>23</v>
      </c>
      <c r="E139" s="16"/>
      <c r="F139" s="16"/>
      <c r="G139" s="17" t="s">
        <v>165</v>
      </c>
      <c r="H139" s="17">
        <v>54</v>
      </c>
      <c r="I139" t="s">
        <v>247</v>
      </c>
      <c r="J139">
        <v>109</v>
      </c>
      <c r="K139" t="s">
        <v>268</v>
      </c>
      <c r="L139">
        <f>VLOOKUP(K139,Start!$A$15:$B$22,2)</f>
        <v>46</v>
      </c>
    </row>
    <row r="140" spans="1:12" ht="17">
      <c r="A140">
        <v>139</v>
      </c>
      <c r="B140" s="16" t="s">
        <v>142</v>
      </c>
      <c r="C140" s="16">
        <v>131</v>
      </c>
      <c r="D140" s="16">
        <v>24</v>
      </c>
      <c r="E140" s="16"/>
      <c r="F140" s="16"/>
      <c r="G140" s="17" t="s">
        <v>166</v>
      </c>
      <c r="H140" s="17">
        <v>56</v>
      </c>
      <c r="I140" t="s">
        <v>247</v>
      </c>
      <c r="J140">
        <v>113</v>
      </c>
      <c r="K140" t="s">
        <v>281</v>
      </c>
      <c r="L140">
        <f>VLOOKUP(K140,Start!$A$15:$B$22,2)</f>
        <v>29</v>
      </c>
    </row>
    <row r="141" spans="1:12" ht="17">
      <c r="A141">
        <v>140</v>
      </c>
      <c r="B141" s="16" t="s">
        <v>142</v>
      </c>
      <c r="C141" s="16">
        <v>132</v>
      </c>
      <c r="D141" s="16">
        <v>25</v>
      </c>
      <c r="E141" s="16"/>
      <c r="F141" s="16"/>
      <c r="G141" s="17" t="s">
        <v>167</v>
      </c>
      <c r="H141" s="17">
        <v>58</v>
      </c>
      <c r="I141" t="s">
        <v>247</v>
      </c>
      <c r="J141">
        <v>117</v>
      </c>
      <c r="K141" t="s">
        <v>268</v>
      </c>
      <c r="L141">
        <f>VLOOKUP(K141,Start!$A$15:$B$22,2)</f>
        <v>46</v>
      </c>
    </row>
    <row r="142" spans="1:12" ht="17">
      <c r="A142">
        <v>141</v>
      </c>
      <c r="B142" s="16" t="s">
        <v>142</v>
      </c>
      <c r="C142" s="16">
        <v>133</v>
      </c>
      <c r="D142" s="16">
        <v>26</v>
      </c>
      <c r="E142" s="16"/>
      <c r="F142" s="16"/>
      <c r="G142" s="17" t="s">
        <v>168</v>
      </c>
      <c r="H142" s="17">
        <v>59</v>
      </c>
      <c r="I142" t="s">
        <v>247</v>
      </c>
      <c r="J142">
        <v>119</v>
      </c>
      <c r="K142" t="s">
        <v>268</v>
      </c>
      <c r="L142">
        <f>VLOOKUP(K142,Start!$A$15:$B$22,2)</f>
        <v>46</v>
      </c>
    </row>
    <row r="143" spans="1:12" ht="17">
      <c r="A143">
        <v>142</v>
      </c>
      <c r="B143" s="16" t="s">
        <v>142</v>
      </c>
      <c r="C143" s="16">
        <v>134</v>
      </c>
      <c r="D143" s="16">
        <v>27</v>
      </c>
      <c r="E143" s="16"/>
      <c r="F143" s="16"/>
      <c r="G143" s="17" t="s">
        <v>169</v>
      </c>
      <c r="H143" s="17">
        <v>60</v>
      </c>
      <c r="I143" t="s">
        <v>247</v>
      </c>
      <c r="J143">
        <v>121</v>
      </c>
      <c r="K143" t="s">
        <v>268</v>
      </c>
      <c r="L143">
        <f>VLOOKUP(K143,Start!$A$15:$B$22,2)</f>
        <v>46</v>
      </c>
    </row>
    <row r="144" spans="1:12" ht="17">
      <c r="A144">
        <v>143</v>
      </c>
      <c r="B144" s="16" t="s">
        <v>142</v>
      </c>
      <c r="C144" s="16">
        <v>135</v>
      </c>
      <c r="D144" s="16">
        <v>28</v>
      </c>
      <c r="E144" s="16"/>
      <c r="F144" s="16"/>
      <c r="G144" s="17" t="s">
        <v>170</v>
      </c>
      <c r="H144" s="17">
        <v>63</v>
      </c>
      <c r="I144" t="s">
        <v>247</v>
      </c>
      <c r="J144">
        <v>127</v>
      </c>
      <c r="K144" t="s">
        <v>268</v>
      </c>
      <c r="L144">
        <f>VLOOKUP(K144,Start!$A$15:$B$22,2)</f>
        <v>46</v>
      </c>
    </row>
    <row r="145" spans="1:12" ht="17">
      <c r="A145">
        <v>144</v>
      </c>
      <c r="B145" s="16" t="s">
        <v>142</v>
      </c>
      <c r="C145" s="16">
        <v>136</v>
      </c>
      <c r="D145" s="16">
        <v>29</v>
      </c>
      <c r="E145" s="16"/>
      <c r="F145" s="16"/>
      <c r="G145" s="17" t="s">
        <v>171</v>
      </c>
      <c r="H145" s="17">
        <v>64</v>
      </c>
      <c r="I145" t="s">
        <v>247</v>
      </c>
      <c r="J145">
        <v>129</v>
      </c>
      <c r="K145" t="s">
        <v>281</v>
      </c>
      <c r="L145">
        <f>VLOOKUP(K145,Start!$A$15:$B$22,2)</f>
        <v>29</v>
      </c>
    </row>
    <row r="146" spans="1:12" ht="17">
      <c r="A146">
        <v>145</v>
      </c>
      <c r="B146" s="16" t="s">
        <v>142</v>
      </c>
      <c r="C146" s="16">
        <v>137</v>
      </c>
      <c r="D146" s="16">
        <v>30</v>
      </c>
      <c r="E146" s="16"/>
      <c r="F146" s="16"/>
      <c r="G146" s="17" t="s">
        <v>172</v>
      </c>
      <c r="H146" s="17">
        <v>67</v>
      </c>
      <c r="I146" t="s">
        <v>247</v>
      </c>
      <c r="J146">
        <v>135</v>
      </c>
      <c r="K146" t="s">
        <v>268</v>
      </c>
      <c r="L146">
        <f>VLOOKUP(K146,Start!$A$15:$B$22,2)</f>
        <v>46</v>
      </c>
    </row>
    <row r="147" spans="1:12" ht="17">
      <c r="A147">
        <v>146</v>
      </c>
      <c r="B147" s="16" t="s">
        <v>142</v>
      </c>
      <c r="C147" s="16">
        <v>138</v>
      </c>
      <c r="D147" s="16">
        <v>31</v>
      </c>
      <c r="E147" s="16"/>
      <c r="F147" s="16"/>
      <c r="G147" s="17" t="s">
        <v>173</v>
      </c>
      <c r="H147" s="17">
        <v>69</v>
      </c>
      <c r="I147" t="s">
        <v>247</v>
      </c>
      <c r="J147">
        <v>139</v>
      </c>
      <c r="K147" t="s">
        <v>268</v>
      </c>
      <c r="L147">
        <f>VLOOKUP(K147,Start!$A$15:$B$22,2)</f>
        <v>46</v>
      </c>
    </row>
    <row r="148" spans="1:12" ht="17">
      <c r="A148">
        <v>147</v>
      </c>
      <c r="B148" s="16" t="s">
        <v>142</v>
      </c>
      <c r="C148" s="16">
        <v>139</v>
      </c>
      <c r="D148" s="16">
        <v>32</v>
      </c>
      <c r="E148" s="16"/>
      <c r="F148" s="16"/>
      <c r="G148" s="17" t="s">
        <v>174</v>
      </c>
      <c r="H148" s="17">
        <v>70</v>
      </c>
      <c r="I148" t="s">
        <v>247</v>
      </c>
      <c r="J148">
        <v>141</v>
      </c>
      <c r="K148" t="s">
        <v>268</v>
      </c>
      <c r="L148">
        <f>VLOOKUP(K148,Start!$A$15:$B$22,2)</f>
        <v>46</v>
      </c>
    </row>
    <row r="149" spans="1:12" ht="17">
      <c r="A149">
        <v>148</v>
      </c>
      <c r="B149" s="16" t="s">
        <v>142</v>
      </c>
      <c r="C149" s="16">
        <v>140</v>
      </c>
      <c r="D149" s="16">
        <v>33</v>
      </c>
      <c r="E149" s="16"/>
      <c r="F149" s="16"/>
      <c r="G149" s="17" t="s">
        <v>175</v>
      </c>
      <c r="H149" s="17">
        <v>73</v>
      </c>
      <c r="I149" t="s">
        <v>247</v>
      </c>
      <c r="J149">
        <v>147</v>
      </c>
      <c r="K149" t="s">
        <v>281</v>
      </c>
      <c r="L149">
        <f>VLOOKUP(K149,Start!$A$15:$B$22,2)</f>
        <v>29</v>
      </c>
    </row>
    <row r="150" spans="1:12" ht="17">
      <c r="A150">
        <v>149</v>
      </c>
      <c r="B150" s="16" t="s">
        <v>142</v>
      </c>
      <c r="C150" s="16">
        <v>141</v>
      </c>
      <c r="D150" s="16">
        <v>34</v>
      </c>
      <c r="E150" s="16"/>
      <c r="F150" s="16"/>
      <c r="G150" s="17" t="s">
        <v>176</v>
      </c>
      <c r="H150" s="17">
        <v>79</v>
      </c>
      <c r="I150" t="s">
        <v>247</v>
      </c>
      <c r="J150">
        <v>159</v>
      </c>
      <c r="K150" t="s">
        <v>268</v>
      </c>
      <c r="L150">
        <f>VLOOKUP(K150,Start!$A$15:$B$22,2)</f>
        <v>46</v>
      </c>
    </row>
    <row r="151" spans="1:12" ht="17">
      <c r="A151">
        <v>150</v>
      </c>
      <c r="B151" s="16" t="s">
        <v>142</v>
      </c>
      <c r="C151" s="16">
        <v>142</v>
      </c>
      <c r="D151" s="16">
        <v>35</v>
      </c>
      <c r="E151" s="16"/>
      <c r="F151" s="16"/>
      <c r="G151" s="17" t="s">
        <v>177</v>
      </c>
      <c r="H151" s="17">
        <v>81</v>
      </c>
      <c r="I151" t="s">
        <v>247</v>
      </c>
      <c r="J151">
        <v>163</v>
      </c>
      <c r="K151" t="s">
        <v>281</v>
      </c>
      <c r="L151">
        <f>VLOOKUP(K151,Start!$A$15:$B$22,2)</f>
        <v>29</v>
      </c>
    </row>
    <row r="152" spans="1:12" ht="17">
      <c r="A152">
        <v>151</v>
      </c>
      <c r="B152" s="16" t="s">
        <v>142</v>
      </c>
      <c r="C152" s="16">
        <v>143</v>
      </c>
      <c r="D152" s="16">
        <v>36</v>
      </c>
      <c r="E152" s="16"/>
      <c r="F152" s="16"/>
      <c r="G152" s="17" t="s">
        <v>178</v>
      </c>
      <c r="H152" s="17">
        <v>83</v>
      </c>
      <c r="I152" t="s">
        <v>247</v>
      </c>
      <c r="J152">
        <v>167</v>
      </c>
      <c r="K152" t="s">
        <v>268</v>
      </c>
      <c r="L152">
        <f>VLOOKUP(K152,Start!$A$15:$B$22,2)</f>
        <v>46</v>
      </c>
    </row>
    <row r="153" spans="1:12" ht="17">
      <c r="A153">
        <v>152</v>
      </c>
      <c r="B153" s="16" t="s">
        <v>142</v>
      </c>
      <c r="C153" s="16">
        <v>144</v>
      </c>
      <c r="D153" s="16">
        <v>37</v>
      </c>
      <c r="E153" s="16"/>
      <c r="F153" s="16"/>
      <c r="G153" s="17" t="s">
        <v>179</v>
      </c>
      <c r="H153" s="17">
        <v>89</v>
      </c>
      <c r="I153" t="s">
        <v>247</v>
      </c>
      <c r="J153">
        <v>179</v>
      </c>
      <c r="K153" t="s">
        <v>268</v>
      </c>
      <c r="L153">
        <f>VLOOKUP(K153,Start!$A$15:$B$22,2)</f>
        <v>46</v>
      </c>
    </row>
    <row r="154" spans="1:12" ht="17">
      <c r="A154">
        <v>153</v>
      </c>
      <c r="B154" s="16" t="s">
        <v>142</v>
      </c>
      <c r="C154" s="16">
        <v>145</v>
      </c>
      <c r="D154" s="16">
        <v>38</v>
      </c>
      <c r="E154" s="16"/>
      <c r="F154" s="16"/>
      <c r="G154" s="17" t="s">
        <v>180</v>
      </c>
      <c r="H154" s="17">
        <v>90</v>
      </c>
      <c r="I154" t="s">
        <v>247</v>
      </c>
      <c r="J154">
        <v>181</v>
      </c>
      <c r="K154" t="s">
        <v>281</v>
      </c>
      <c r="L154">
        <f>VLOOKUP(K154,Start!$A$15:$B$22,2)</f>
        <v>29</v>
      </c>
    </row>
    <row r="155" spans="1:12" ht="17">
      <c r="A155">
        <v>154</v>
      </c>
      <c r="B155" s="16" t="s">
        <v>142</v>
      </c>
      <c r="C155" s="16">
        <v>146</v>
      </c>
      <c r="D155" s="16">
        <v>39</v>
      </c>
      <c r="E155" s="16"/>
      <c r="F155" s="16"/>
      <c r="G155" s="17" t="s">
        <v>181</v>
      </c>
      <c r="H155" s="17">
        <v>91</v>
      </c>
      <c r="I155" t="s">
        <v>247</v>
      </c>
      <c r="J155">
        <v>183</v>
      </c>
      <c r="K155" t="s">
        <v>277</v>
      </c>
      <c r="L155">
        <f>VLOOKUP(K155,Start!$A$15:$B$22,2)</f>
        <v>62</v>
      </c>
    </row>
    <row r="156" spans="1:12" ht="17">
      <c r="A156">
        <v>155</v>
      </c>
      <c r="B156" s="16" t="s">
        <v>142</v>
      </c>
      <c r="C156" s="16">
        <v>147</v>
      </c>
      <c r="D156" s="16">
        <v>40</v>
      </c>
      <c r="E156" s="16"/>
      <c r="F156" s="16"/>
      <c r="G156" s="17" t="s">
        <v>182</v>
      </c>
      <c r="H156" s="17">
        <v>93</v>
      </c>
      <c r="I156" t="s">
        <v>247</v>
      </c>
      <c r="J156">
        <v>187</v>
      </c>
      <c r="K156" t="s">
        <v>268</v>
      </c>
      <c r="L156">
        <f>VLOOKUP(K156,Start!$A$15:$B$22,2)</f>
        <v>46</v>
      </c>
    </row>
    <row r="157" spans="1:12" ht="17">
      <c r="A157">
        <v>156</v>
      </c>
      <c r="B157" s="16" t="s">
        <v>142</v>
      </c>
      <c r="C157" s="16">
        <v>148</v>
      </c>
      <c r="D157" s="16">
        <v>41</v>
      </c>
      <c r="E157" s="16"/>
      <c r="F157" s="16"/>
      <c r="G157" s="17" t="s">
        <v>183</v>
      </c>
      <c r="H157" s="17">
        <v>94</v>
      </c>
      <c r="I157" t="s">
        <v>247</v>
      </c>
      <c r="J157">
        <v>189</v>
      </c>
      <c r="K157" t="s">
        <v>268</v>
      </c>
      <c r="L157">
        <f>VLOOKUP(K157,Start!$A$15:$B$22,2)</f>
        <v>46</v>
      </c>
    </row>
    <row r="158" spans="1:12" ht="17">
      <c r="A158">
        <v>157</v>
      </c>
      <c r="B158" s="16" t="s">
        <v>142</v>
      </c>
      <c r="C158" s="16">
        <v>149</v>
      </c>
      <c r="D158" s="16">
        <v>42</v>
      </c>
      <c r="E158" s="16"/>
      <c r="F158" s="16"/>
      <c r="G158" s="17" t="s">
        <v>184</v>
      </c>
      <c r="H158" s="17">
        <v>105</v>
      </c>
      <c r="I158" t="s">
        <v>247</v>
      </c>
      <c r="J158">
        <v>211</v>
      </c>
      <c r="K158" t="s">
        <v>268</v>
      </c>
      <c r="L158">
        <f>VLOOKUP(K158,Start!$A$15:$B$22,2)</f>
        <v>46</v>
      </c>
    </row>
    <row r="159" spans="1:12" ht="17">
      <c r="A159">
        <v>158</v>
      </c>
      <c r="B159" s="16" t="s">
        <v>142</v>
      </c>
      <c r="C159" s="16">
        <v>150</v>
      </c>
      <c r="D159" s="16">
        <v>43</v>
      </c>
      <c r="E159" s="16"/>
      <c r="F159" s="16"/>
      <c r="G159" s="17" t="s">
        <v>185</v>
      </c>
      <c r="H159" s="17">
        <v>107</v>
      </c>
      <c r="I159" t="s">
        <v>247</v>
      </c>
      <c r="J159">
        <v>215</v>
      </c>
      <c r="K159" t="s">
        <v>281</v>
      </c>
      <c r="L159">
        <f>VLOOKUP(K159,Start!$A$15:$B$22,2)</f>
        <v>29</v>
      </c>
    </row>
    <row r="160" spans="1:12" ht="17">
      <c r="A160">
        <v>159</v>
      </c>
      <c r="B160" s="16" t="s">
        <v>142</v>
      </c>
      <c r="C160" s="16">
        <v>151</v>
      </c>
      <c r="D160" s="16">
        <v>44</v>
      </c>
      <c r="E160" s="16"/>
      <c r="F160" s="16"/>
      <c r="G160" s="17" t="s">
        <v>186</v>
      </c>
      <c r="H160" s="17">
        <v>109</v>
      </c>
      <c r="I160" t="s">
        <v>247</v>
      </c>
      <c r="J160">
        <v>219</v>
      </c>
      <c r="K160" t="s">
        <v>268</v>
      </c>
      <c r="L160">
        <f>VLOOKUP(K160,Start!$A$15:$B$22,2)</f>
        <v>46</v>
      </c>
    </row>
    <row r="161" spans="1:12" ht="17">
      <c r="A161">
        <v>160</v>
      </c>
      <c r="B161" s="16" t="s">
        <v>142</v>
      </c>
      <c r="C161" s="16">
        <v>152</v>
      </c>
      <c r="D161" s="16">
        <v>45</v>
      </c>
      <c r="E161" s="16"/>
      <c r="F161" s="16"/>
      <c r="G161" s="17" t="s">
        <v>187</v>
      </c>
      <c r="H161" s="17">
        <v>110</v>
      </c>
      <c r="I161" t="s">
        <v>247</v>
      </c>
      <c r="J161">
        <v>221</v>
      </c>
      <c r="K161" t="s">
        <v>268</v>
      </c>
      <c r="L161">
        <f>VLOOKUP(K161,Start!$A$15:$B$22,2)</f>
        <v>46</v>
      </c>
    </row>
    <row r="162" spans="1:12" ht="17">
      <c r="A162">
        <v>161</v>
      </c>
      <c r="B162" s="16" t="s">
        <v>142</v>
      </c>
      <c r="C162" s="16">
        <v>153</v>
      </c>
      <c r="D162" s="16">
        <v>46</v>
      </c>
      <c r="E162" s="16"/>
      <c r="F162" s="16"/>
      <c r="G162" s="17" t="s">
        <v>188</v>
      </c>
      <c r="H162" s="17">
        <v>116</v>
      </c>
      <c r="I162" t="s">
        <v>247</v>
      </c>
      <c r="J162">
        <v>233</v>
      </c>
      <c r="K162" t="s">
        <v>277</v>
      </c>
      <c r="L162">
        <f>VLOOKUP(K162,Start!$A$15:$B$22,2)</f>
        <v>62</v>
      </c>
    </row>
    <row r="163" spans="1:12" ht="17">
      <c r="A163">
        <v>162</v>
      </c>
      <c r="B163" s="16" t="s">
        <v>142</v>
      </c>
      <c r="C163" s="16">
        <v>154</v>
      </c>
      <c r="D163" s="16">
        <v>47</v>
      </c>
      <c r="E163" s="16"/>
      <c r="F163" s="16"/>
      <c r="G163" s="17" t="s">
        <v>189</v>
      </c>
      <c r="H163" s="17">
        <v>126</v>
      </c>
      <c r="I163" t="s">
        <v>247</v>
      </c>
      <c r="J163">
        <v>253</v>
      </c>
      <c r="K163" t="s">
        <v>268</v>
      </c>
      <c r="L163">
        <f>VLOOKUP(K163,Start!$A$15:$B$22,2)</f>
        <v>46</v>
      </c>
    </row>
    <row r="164" spans="1:12" ht="17">
      <c r="A164">
        <v>163</v>
      </c>
      <c r="B164" s="16" t="s">
        <v>142</v>
      </c>
      <c r="C164" s="16">
        <v>155</v>
      </c>
      <c r="D164" s="16">
        <v>48</v>
      </c>
      <c r="E164" s="16"/>
      <c r="F164" s="16"/>
      <c r="G164" s="17" t="s">
        <v>190</v>
      </c>
      <c r="H164" s="17">
        <v>128</v>
      </c>
      <c r="I164" t="s">
        <v>247</v>
      </c>
      <c r="J164">
        <v>257</v>
      </c>
      <c r="K164" t="s">
        <v>268</v>
      </c>
      <c r="L164">
        <f>VLOOKUP(K164,Start!$A$15:$B$22,2)</f>
        <v>46</v>
      </c>
    </row>
    <row r="165" spans="1:12" ht="17">
      <c r="A165">
        <v>164</v>
      </c>
      <c r="B165" s="16" t="s">
        <v>142</v>
      </c>
      <c r="C165" s="16">
        <v>156</v>
      </c>
      <c r="D165" s="16">
        <v>49</v>
      </c>
      <c r="E165" s="16"/>
      <c r="F165" s="16"/>
      <c r="G165" s="17" t="s">
        <v>191</v>
      </c>
      <c r="H165" s="17">
        <v>129</v>
      </c>
      <c r="I165" t="s">
        <v>247</v>
      </c>
      <c r="J165">
        <v>259</v>
      </c>
      <c r="K165" t="s">
        <v>276</v>
      </c>
      <c r="L165">
        <f>VLOOKUP(K165,Start!$A$15:$B$22,2)</f>
        <v>55</v>
      </c>
    </row>
    <row r="166" spans="1:12" ht="17">
      <c r="A166">
        <v>165</v>
      </c>
      <c r="B166" s="16" t="s">
        <v>142</v>
      </c>
      <c r="C166" s="16">
        <v>157</v>
      </c>
      <c r="D166" s="16">
        <v>50</v>
      </c>
      <c r="E166" s="16"/>
      <c r="F166" s="16"/>
      <c r="G166" s="17" t="s">
        <v>192</v>
      </c>
      <c r="H166" s="17">
        <v>136</v>
      </c>
      <c r="I166" t="s">
        <v>247</v>
      </c>
      <c r="J166">
        <v>273</v>
      </c>
      <c r="K166" t="s">
        <v>268</v>
      </c>
      <c r="L166">
        <f>VLOOKUP(K166,Start!$A$15:$B$22,2)</f>
        <v>46</v>
      </c>
    </row>
    <row r="167" spans="1:12" ht="17">
      <c r="A167">
        <v>166</v>
      </c>
      <c r="B167" s="16" t="s">
        <v>142</v>
      </c>
      <c r="C167" s="16">
        <v>158</v>
      </c>
      <c r="D167" s="16">
        <v>51</v>
      </c>
      <c r="E167" s="16"/>
      <c r="F167" s="16"/>
      <c r="G167" s="17" t="s">
        <v>193</v>
      </c>
      <c r="H167" s="17">
        <v>137</v>
      </c>
      <c r="I167" t="s">
        <v>247</v>
      </c>
      <c r="J167">
        <v>275</v>
      </c>
      <c r="K167" t="s">
        <v>268</v>
      </c>
      <c r="L167">
        <f>VLOOKUP(K167,Start!$A$15:$B$22,2)</f>
        <v>46</v>
      </c>
    </row>
    <row r="168" spans="1:12" ht="17">
      <c r="A168">
        <v>167</v>
      </c>
      <c r="B168" s="16" t="s">
        <v>142</v>
      </c>
      <c r="C168" s="16">
        <v>159</v>
      </c>
      <c r="D168" s="16">
        <v>52</v>
      </c>
      <c r="E168" s="16"/>
      <c r="F168" s="16"/>
      <c r="G168" s="17" t="s">
        <v>194</v>
      </c>
      <c r="H168" s="17">
        <v>148</v>
      </c>
      <c r="I168" t="s">
        <v>247</v>
      </c>
      <c r="J168">
        <v>297</v>
      </c>
      <c r="K168" t="s">
        <v>268</v>
      </c>
      <c r="L168">
        <f>VLOOKUP(K168,Start!$A$15:$B$22,2)</f>
        <v>46</v>
      </c>
    </row>
    <row r="169" spans="1:12" ht="17">
      <c r="A169">
        <v>168</v>
      </c>
      <c r="B169" s="16" t="s">
        <v>142</v>
      </c>
      <c r="C169" s="16">
        <v>160</v>
      </c>
      <c r="D169" s="16">
        <v>53</v>
      </c>
      <c r="E169" s="16"/>
      <c r="F169" s="16"/>
      <c r="G169" s="17" t="s">
        <v>195</v>
      </c>
      <c r="H169" s="17">
        <v>149</v>
      </c>
      <c r="I169" t="s">
        <v>247</v>
      </c>
      <c r="J169">
        <v>299</v>
      </c>
      <c r="K169" t="s">
        <v>281</v>
      </c>
      <c r="L169">
        <f>VLOOKUP(K169,Start!$A$15:$B$22,2)</f>
        <v>29</v>
      </c>
    </row>
    <row r="170" spans="1:12" ht="17">
      <c r="A170">
        <v>169</v>
      </c>
      <c r="B170" s="16" t="s">
        <v>142</v>
      </c>
      <c r="C170" s="16">
        <v>161</v>
      </c>
      <c r="D170" s="16">
        <v>54</v>
      </c>
      <c r="E170" s="16"/>
      <c r="F170" s="16"/>
      <c r="G170" s="17" t="s">
        <v>196</v>
      </c>
      <c r="H170" s="17">
        <v>150</v>
      </c>
      <c r="I170" t="s">
        <v>247</v>
      </c>
      <c r="J170">
        <v>301</v>
      </c>
      <c r="K170" t="s">
        <v>277</v>
      </c>
      <c r="L170">
        <f>VLOOKUP(K170,Start!$A$15:$B$22,2)</f>
        <v>62</v>
      </c>
    </row>
    <row r="171" spans="1:12" ht="17">
      <c r="A171">
        <v>170</v>
      </c>
      <c r="B171" s="16" t="s">
        <v>142</v>
      </c>
      <c r="C171" s="16">
        <v>162</v>
      </c>
      <c r="D171" s="16">
        <v>55</v>
      </c>
      <c r="E171" s="16"/>
      <c r="F171" s="16"/>
      <c r="G171" s="17" t="s">
        <v>197</v>
      </c>
      <c r="H171" s="17">
        <v>160</v>
      </c>
      <c r="I171" t="s">
        <v>247</v>
      </c>
      <c r="J171">
        <v>321</v>
      </c>
      <c r="K171" t="s">
        <v>268</v>
      </c>
      <c r="L171">
        <f>VLOOKUP(K171,Start!$A$15:$B$22,2)</f>
        <v>46</v>
      </c>
    </row>
    <row r="172" spans="1:12" ht="17">
      <c r="A172">
        <v>171</v>
      </c>
      <c r="B172" s="16" t="s">
        <v>142</v>
      </c>
      <c r="C172" s="16">
        <v>163</v>
      </c>
      <c r="D172" s="16">
        <v>56</v>
      </c>
      <c r="E172" s="16"/>
      <c r="F172" s="16"/>
      <c r="G172" s="17" t="s">
        <v>198</v>
      </c>
      <c r="H172" s="17">
        <v>161</v>
      </c>
      <c r="I172" t="s">
        <v>247</v>
      </c>
      <c r="J172">
        <v>323</v>
      </c>
      <c r="K172" t="s">
        <v>268</v>
      </c>
      <c r="L172">
        <f>VLOOKUP(K172,Start!$A$15:$B$22,2)</f>
        <v>46</v>
      </c>
    </row>
    <row r="173" spans="1:12" ht="17">
      <c r="A173">
        <v>172</v>
      </c>
      <c r="B173" s="16" t="s">
        <v>142</v>
      </c>
      <c r="C173" s="16">
        <v>164</v>
      </c>
      <c r="D173" s="16">
        <v>57</v>
      </c>
      <c r="E173" s="16"/>
      <c r="F173" s="16"/>
      <c r="G173" s="17" t="s">
        <v>199</v>
      </c>
      <c r="H173" s="17">
        <v>162</v>
      </c>
      <c r="I173" t="s">
        <v>247</v>
      </c>
      <c r="J173">
        <v>325</v>
      </c>
      <c r="K173" t="s">
        <v>268</v>
      </c>
      <c r="L173">
        <f>VLOOKUP(K173,Start!$A$15:$B$22,2)</f>
        <v>46</v>
      </c>
    </row>
    <row r="174" spans="1:12" ht="17">
      <c r="A174">
        <v>173</v>
      </c>
      <c r="B174" s="16" t="s">
        <v>142</v>
      </c>
      <c r="C174" s="16">
        <v>165</v>
      </c>
      <c r="D174" s="16">
        <v>58</v>
      </c>
      <c r="E174" s="16"/>
      <c r="F174" s="16"/>
      <c r="G174" s="17" t="s">
        <v>200</v>
      </c>
      <c r="H174" s="17">
        <v>166</v>
      </c>
      <c r="I174" t="s">
        <v>247</v>
      </c>
      <c r="J174">
        <v>333</v>
      </c>
      <c r="K174" t="s">
        <v>281</v>
      </c>
      <c r="L174">
        <f>VLOOKUP(K174,Start!$A$15:$B$22,2)</f>
        <v>29</v>
      </c>
    </row>
    <row r="175" spans="1:12" ht="17">
      <c r="A175">
        <v>174</v>
      </c>
      <c r="B175" s="16" t="s">
        <v>142</v>
      </c>
      <c r="C175" s="16">
        <v>166</v>
      </c>
      <c r="D175" s="16">
        <v>59</v>
      </c>
      <c r="E175" s="16"/>
      <c r="F175" s="16"/>
      <c r="G175" s="17" t="s">
        <v>201</v>
      </c>
      <c r="H175" s="17">
        <v>168</v>
      </c>
      <c r="I175" t="s">
        <v>247</v>
      </c>
      <c r="J175">
        <v>337</v>
      </c>
      <c r="K175" t="s">
        <v>268</v>
      </c>
      <c r="L175">
        <f>VLOOKUP(K175,Start!$A$15:$B$22,2)</f>
        <v>46</v>
      </c>
    </row>
    <row r="176" spans="1:12" ht="17">
      <c r="A176">
        <v>175</v>
      </c>
      <c r="B176" s="16" t="s">
        <v>142</v>
      </c>
      <c r="C176" s="16">
        <v>167</v>
      </c>
      <c r="D176" s="16">
        <v>60</v>
      </c>
      <c r="E176" s="16"/>
      <c r="F176" s="16"/>
      <c r="G176" s="17" t="s">
        <v>202</v>
      </c>
      <c r="H176" s="17">
        <v>171</v>
      </c>
      <c r="I176" t="s">
        <v>247</v>
      </c>
      <c r="J176">
        <v>343</v>
      </c>
      <c r="K176" t="s">
        <v>268</v>
      </c>
      <c r="L176">
        <f>VLOOKUP(K176,Start!$A$15:$B$22,2)</f>
        <v>46</v>
      </c>
    </row>
    <row r="177" spans="1:14" ht="17">
      <c r="A177">
        <v>176</v>
      </c>
      <c r="B177" s="16" t="s">
        <v>142</v>
      </c>
      <c r="C177" s="16">
        <v>168</v>
      </c>
      <c r="D177" s="16">
        <v>61</v>
      </c>
      <c r="E177" s="16"/>
      <c r="F177" s="16"/>
      <c r="G177" s="17" t="s">
        <v>203</v>
      </c>
      <c r="H177" s="17">
        <v>173</v>
      </c>
      <c r="I177" t="s">
        <v>247</v>
      </c>
      <c r="J177">
        <v>347</v>
      </c>
      <c r="K177" t="s">
        <v>268</v>
      </c>
      <c r="L177">
        <f>VLOOKUP(K177,Start!$A$15:$B$22,2)</f>
        <v>46</v>
      </c>
    </row>
    <row r="178" spans="1:14" ht="17">
      <c r="A178">
        <v>177</v>
      </c>
      <c r="B178" s="16" t="s">
        <v>142</v>
      </c>
      <c r="C178" s="16">
        <v>169</v>
      </c>
      <c r="D178" s="16">
        <v>62</v>
      </c>
      <c r="E178" s="16"/>
      <c r="F178" s="16"/>
      <c r="G178" s="17" t="s">
        <v>204</v>
      </c>
      <c r="H178" s="17">
        <v>175</v>
      </c>
      <c r="I178" t="s">
        <v>247</v>
      </c>
      <c r="J178">
        <v>351</v>
      </c>
      <c r="K178" t="s">
        <v>281</v>
      </c>
      <c r="L178">
        <f>VLOOKUP(K178,Start!$A$15:$B$22,2)</f>
        <v>29</v>
      </c>
    </row>
    <row r="179" spans="1:14" ht="17">
      <c r="A179">
        <v>178</v>
      </c>
      <c r="B179" s="16" t="s">
        <v>142</v>
      </c>
      <c r="C179" s="16">
        <v>170</v>
      </c>
      <c r="D179" s="16">
        <v>63</v>
      </c>
      <c r="E179" s="16"/>
      <c r="F179" s="16"/>
      <c r="G179" s="17" t="s">
        <v>205</v>
      </c>
      <c r="H179" s="17">
        <v>179</v>
      </c>
      <c r="I179" t="s">
        <v>247</v>
      </c>
      <c r="J179">
        <v>359</v>
      </c>
      <c r="K179" t="s">
        <v>268</v>
      </c>
      <c r="L179">
        <f>VLOOKUP(K179,Start!$A$15:$B$22,2)</f>
        <v>46</v>
      </c>
    </row>
    <row r="180" spans="1:14" ht="17">
      <c r="A180">
        <v>179</v>
      </c>
      <c r="B180" s="16" t="s">
        <v>142</v>
      </c>
      <c r="C180" s="16">
        <v>171</v>
      </c>
      <c r="D180" s="16">
        <v>64</v>
      </c>
      <c r="E180" s="16"/>
      <c r="F180" s="16"/>
      <c r="G180" s="17" t="s">
        <v>206</v>
      </c>
      <c r="H180" s="17">
        <v>185</v>
      </c>
      <c r="I180" t="s">
        <v>247</v>
      </c>
      <c r="J180">
        <v>371</v>
      </c>
      <c r="K180" t="s">
        <v>268</v>
      </c>
      <c r="L180">
        <f>VLOOKUP(K180,Start!$A$15:$B$22,2)</f>
        <v>46</v>
      </c>
    </row>
    <row r="181" spans="1:14" ht="17">
      <c r="A181">
        <v>180</v>
      </c>
      <c r="B181" s="16" t="s">
        <v>142</v>
      </c>
      <c r="C181" s="16">
        <v>172</v>
      </c>
      <c r="D181" s="16">
        <v>65</v>
      </c>
      <c r="E181" s="16"/>
      <c r="F181" s="16"/>
      <c r="G181" s="17" t="s">
        <v>207</v>
      </c>
      <c r="H181" s="17">
        <v>188</v>
      </c>
      <c r="I181" t="s">
        <v>247</v>
      </c>
      <c r="J181">
        <v>377</v>
      </c>
      <c r="K181" t="s">
        <v>268</v>
      </c>
      <c r="L181">
        <f>VLOOKUP(K181,Start!$A$15:$B$22,2)</f>
        <v>46</v>
      </c>
    </row>
    <row r="182" spans="1:14" ht="17">
      <c r="A182">
        <v>181</v>
      </c>
      <c r="B182" s="150" t="s">
        <v>142</v>
      </c>
      <c r="C182" s="50">
        <v>173</v>
      </c>
      <c r="D182" s="50">
        <v>66</v>
      </c>
      <c r="E182" s="16"/>
      <c r="F182" s="16"/>
      <c r="G182" s="17" t="s">
        <v>208</v>
      </c>
      <c r="H182" s="17">
        <v>191</v>
      </c>
      <c r="I182" t="s">
        <v>247</v>
      </c>
      <c r="J182" s="7">
        <v>383</v>
      </c>
      <c r="K182" s="7" t="s">
        <v>268</v>
      </c>
      <c r="L182">
        <f>VLOOKUP(K182,Start!$A$15:$B$22,2)</f>
        <v>46</v>
      </c>
    </row>
    <row r="183" spans="1:14" ht="17">
      <c r="A183">
        <v>182</v>
      </c>
      <c r="B183" s="150"/>
      <c r="C183" s="50">
        <v>174</v>
      </c>
      <c r="D183" s="50"/>
      <c r="E183" s="16"/>
      <c r="F183" s="16"/>
      <c r="G183" s="17" t="s">
        <v>209</v>
      </c>
      <c r="H183" s="17">
        <v>192</v>
      </c>
      <c r="I183" t="s">
        <v>247</v>
      </c>
      <c r="J183" s="7">
        <v>385</v>
      </c>
      <c r="K183" s="7" t="s">
        <v>281</v>
      </c>
      <c r="L183">
        <f>VLOOKUP(K183,Start!$A$15:$B$22,2)</f>
        <v>29</v>
      </c>
      <c r="N183" t="s">
        <v>280</v>
      </c>
    </row>
    <row r="184" spans="1:14" ht="17">
      <c r="A184">
        <v>183</v>
      </c>
      <c r="B184" s="16" t="s">
        <v>142</v>
      </c>
      <c r="C184" s="16">
        <v>175</v>
      </c>
      <c r="D184" s="16">
        <v>67</v>
      </c>
      <c r="E184" s="16"/>
      <c r="F184" s="16"/>
      <c r="G184" s="17" t="s">
        <v>210</v>
      </c>
      <c r="H184" s="17">
        <v>193</v>
      </c>
      <c r="I184" t="s">
        <v>247</v>
      </c>
      <c r="J184">
        <v>387</v>
      </c>
      <c r="K184" t="s">
        <v>277</v>
      </c>
      <c r="L184">
        <f>VLOOKUP(K184,Start!$A$15:$B$22,2)</f>
        <v>62</v>
      </c>
    </row>
    <row r="185" spans="1:14" ht="17">
      <c r="A185">
        <v>184</v>
      </c>
      <c r="B185" s="16" t="s">
        <v>142</v>
      </c>
      <c r="C185" s="16">
        <v>176</v>
      </c>
      <c r="D185" s="16">
        <v>68</v>
      </c>
      <c r="E185" s="16"/>
      <c r="F185" s="16"/>
      <c r="G185" s="17" t="s">
        <v>211</v>
      </c>
      <c r="H185" s="17">
        <v>194</v>
      </c>
      <c r="I185" t="s">
        <v>247</v>
      </c>
      <c r="J185">
        <v>389</v>
      </c>
      <c r="K185" t="s">
        <v>268</v>
      </c>
      <c r="L185">
        <f>VLOOKUP(K185,Start!$A$15:$B$22,2)</f>
        <v>46</v>
      </c>
    </row>
    <row r="186" spans="1:14" ht="17">
      <c r="A186">
        <v>185</v>
      </c>
      <c r="B186" s="16" t="s">
        <v>142</v>
      </c>
      <c r="C186" s="16">
        <v>177</v>
      </c>
      <c r="D186" s="16">
        <v>69</v>
      </c>
      <c r="E186" s="16"/>
      <c r="F186" s="16"/>
      <c r="G186" s="17" t="s">
        <v>212</v>
      </c>
      <c r="H186" s="17">
        <v>200</v>
      </c>
      <c r="I186" t="s">
        <v>247</v>
      </c>
      <c r="J186">
        <v>401</v>
      </c>
      <c r="K186" t="s">
        <v>281</v>
      </c>
      <c r="L186">
        <f>VLOOKUP(K186,Start!$A$15:$B$22,2)</f>
        <v>29</v>
      </c>
    </row>
    <row r="187" spans="1:14" ht="17">
      <c r="A187">
        <v>186</v>
      </c>
      <c r="B187" s="16" t="s">
        <v>142</v>
      </c>
      <c r="C187" s="16">
        <v>178</v>
      </c>
      <c r="D187" s="16">
        <v>70</v>
      </c>
      <c r="E187" s="16"/>
      <c r="F187" s="16"/>
      <c r="G187" s="17" t="s">
        <v>213</v>
      </c>
      <c r="H187" s="17">
        <v>202</v>
      </c>
      <c r="I187" t="s">
        <v>247</v>
      </c>
      <c r="J187">
        <v>405</v>
      </c>
      <c r="K187" t="s">
        <v>268</v>
      </c>
      <c r="L187">
        <f>VLOOKUP(K187,Start!$A$15:$B$22,2)</f>
        <v>46</v>
      </c>
    </row>
    <row r="188" spans="1:14" ht="17">
      <c r="A188">
        <v>187</v>
      </c>
      <c r="B188" s="16" t="s">
        <v>142</v>
      </c>
      <c r="C188" s="16">
        <v>179</v>
      </c>
      <c r="D188" s="16">
        <v>71</v>
      </c>
      <c r="E188" s="16"/>
      <c r="F188" s="16"/>
      <c r="G188" s="17" t="s">
        <v>214</v>
      </c>
      <c r="H188" s="17">
        <v>203</v>
      </c>
      <c r="I188" t="s">
        <v>247</v>
      </c>
      <c r="J188">
        <v>407</v>
      </c>
      <c r="K188" t="s">
        <v>268</v>
      </c>
      <c r="L188">
        <f>VLOOKUP(K188,Start!$A$15:$B$22,2)</f>
        <v>46</v>
      </c>
    </row>
    <row r="189" spans="1:14" ht="17">
      <c r="A189">
        <v>188</v>
      </c>
      <c r="B189" s="16" t="s">
        <v>142</v>
      </c>
      <c r="C189" s="16">
        <v>180</v>
      </c>
      <c r="D189" s="16">
        <v>72</v>
      </c>
      <c r="E189" s="16"/>
      <c r="F189" s="16"/>
      <c r="G189" s="17" t="s">
        <v>215</v>
      </c>
      <c r="H189" s="17">
        <v>211</v>
      </c>
      <c r="I189" t="s">
        <v>247</v>
      </c>
      <c r="J189">
        <v>423</v>
      </c>
      <c r="K189" t="s">
        <v>268</v>
      </c>
      <c r="L189">
        <f>VLOOKUP(K189,Start!$A$15:$B$22,2)</f>
        <v>46</v>
      </c>
    </row>
    <row r="190" spans="1:14" ht="17">
      <c r="A190">
        <v>189</v>
      </c>
      <c r="B190" s="16" t="s">
        <v>142</v>
      </c>
      <c r="C190" s="16">
        <v>181</v>
      </c>
      <c r="D190" s="16">
        <v>73</v>
      </c>
      <c r="E190" s="16"/>
      <c r="F190" s="16"/>
      <c r="G190" s="17" t="s">
        <v>216</v>
      </c>
      <c r="H190" s="17">
        <v>212</v>
      </c>
      <c r="I190" t="s">
        <v>247</v>
      </c>
      <c r="J190">
        <v>425</v>
      </c>
      <c r="K190" t="s">
        <v>268</v>
      </c>
      <c r="L190">
        <f>VLOOKUP(K190,Start!$A$15:$B$22,2)</f>
        <v>46</v>
      </c>
    </row>
    <row r="191" spans="1:14" ht="17">
      <c r="A191">
        <v>190</v>
      </c>
      <c r="B191" s="16" t="s">
        <v>142</v>
      </c>
      <c r="C191" s="16">
        <v>182</v>
      </c>
      <c r="D191" s="14">
        <v>74</v>
      </c>
      <c r="E191" s="16"/>
      <c r="F191" s="16"/>
      <c r="G191" s="17" t="s">
        <v>217</v>
      </c>
      <c r="H191" s="10">
        <v>214</v>
      </c>
      <c r="I191" s="11" t="s">
        <v>247</v>
      </c>
      <c r="J191" s="11">
        <v>429</v>
      </c>
      <c r="K191" s="11" t="s">
        <v>294</v>
      </c>
      <c r="L191">
        <f>VLOOKUP(K191,Start!$A$15:$B$22,2)</f>
        <v>18</v>
      </c>
      <c r="M191" s="11" t="s">
        <v>253</v>
      </c>
    </row>
    <row r="192" spans="1:14" ht="17">
      <c r="A192">
        <v>191</v>
      </c>
      <c r="B192" s="16" t="s">
        <v>142</v>
      </c>
      <c r="C192" s="16">
        <v>183</v>
      </c>
      <c r="D192" s="14">
        <v>75</v>
      </c>
      <c r="E192" s="16"/>
      <c r="F192" s="16"/>
      <c r="G192" s="17" t="s">
        <v>218</v>
      </c>
      <c r="H192" s="10">
        <v>215</v>
      </c>
      <c r="I192" s="11" t="s">
        <v>247</v>
      </c>
      <c r="J192" s="11">
        <v>431</v>
      </c>
      <c r="K192" s="11" t="s">
        <v>293</v>
      </c>
      <c r="L192">
        <f>VLOOKUP(K192,Start!$A$15:$B$22,2)</f>
        <v>15</v>
      </c>
      <c r="M192" s="11" t="s">
        <v>253</v>
      </c>
    </row>
    <row r="193" spans="1:13" ht="17">
      <c r="A193">
        <v>192</v>
      </c>
      <c r="B193" s="16" t="s">
        <v>142</v>
      </c>
      <c r="C193" s="16">
        <v>184</v>
      </c>
      <c r="D193" s="14">
        <v>76</v>
      </c>
      <c r="E193" s="16"/>
      <c r="F193" s="16"/>
      <c r="G193" s="17" t="s">
        <v>219</v>
      </c>
      <c r="H193" s="10">
        <v>216</v>
      </c>
      <c r="I193" s="11" t="s">
        <v>247</v>
      </c>
      <c r="J193" s="11">
        <v>433</v>
      </c>
      <c r="K193" s="11" t="s">
        <v>293</v>
      </c>
      <c r="L193">
        <f>VLOOKUP(K193,Start!$A$15:$B$22,2)</f>
        <v>15</v>
      </c>
      <c r="M193" s="11" t="s">
        <v>253</v>
      </c>
    </row>
    <row r="194" spans="1:13" ht="17">
      <c r="A194">
        <v>193</v>
      </c>
      <c r="B194" s="16" t="s">
        <v>142</v>
      </c>
      <c r="C194" s="16">
        <v>185</v>
      </c>
      <c r="D194" s="14">
        <v>77</v>
      </c>
      <c r="E194" s="16"/>
      <c r="F194" s="16"/>
      <c r="G194" s="17" t="s">
        <v>220</v>
      </c>
      <c r="H194" s="10">
        <v>217</v>
      </c>
      <c r="I194" s="11" t="s">
        <v>247</v>
      </c>
      <c r="J194" s="11">
        <v>435</v>
      </c>
      <c r="K194" s="11" t="s">
        <v>294</v>
      </c>
      <c r="L194">
        <f>VLOOKUP(K194,Start!$A$15:$B$22,2)</f>
        <v>18</v>
      </c>
      <c r="M194" s="11" t="s">
        <v>253</v>
      </c>
    </row>
    <row r="195" spans="1:13" ht="17">
      <c r="A195">
        <v>194</v>
      </c>
      <c r="B195" s="16" t="s">
        <v>142</v>
      </c>
      <c r="C195" s="16">
        <v>186</v>
      </c>
      <c r="D195" s="14">
        <v>78</v>
      </c>
      <c r="E195" s="16"/>
      <c r="F195" s="16"/>
      <c r="G195" s="17" t="s">
        <v>221</v>
      </c>
      <c r="H195" s="10">
        <v>218</v>
      </c>
      <c r="I195" s="11" t="s">
        <v>247</v>
      </c>
      <c r="J195" s="11">
        <v>437</v>
      </c>
      <c r="K195" s="11" t="s">
        <v>293</v>
      </c>
      <c r="L195">
        <f>VLOOKUP(K195,Start!$A$15:$B$22,2)</f>
        <v>15</v>
      </c>
      <c r="M195" s="11" t="s">
        <v>253</v>
      </c>
    </row>
    <row r="196" spans="1:13" ht="17">
      <c r="A196">
        <v>195</v>
      </c>
      <c r="B196" s="16" t="s">
        <v>142</v>
      </c>
      <c r="C196" s="16">
        <v>187</v>
      </c>
      <c r="D196" s="16">
        <v>79</v>
      </c>
      <c r="E196" s="16"/>
      <c r="F196" s="16"/>
      <c r="G196" s="17" t="s">
        <v>222</v>
      </c>
      <c r="H196" s="17">
        <v>33</v>
      </c>
      <c r="I196" t="s">
        <v>247</v>
      </c>
      <c r="J196">
        <v>67</v>
      </c>
      <c r="K196" t="s">
        <v>268</v>
      </c>
      <c r="L196">
        <f>VLOOKUP(K196,Start!$A$15:$B$22,2)</f>
        <v>46</v>
      </c>
    </row>
    <row r="197" spans="1:13" ht="17">
      <c r="A197">
        <v>196</v>
      </c>
      <c r="B197" s="16" t="s">
        <v>25</v>
      </c>
      <c r="C197" s="16">
        <v>188</v>
      </c>
      <c r="D197" s="16"/>
      <c r="E197" s="16" t="s">
        <v>26</v>
      </c>
      <c r="F197" s="16" t="s">
        <v>26</v>
      </c>
      <c r="G197" s="17" t="s">
        <v>223</v>
      </c>
      <c r="H197" s="17">
        <v>101</v>
      </c>
      <c r="I197" t="s">
        <v>247</v>
      </c>
      <c r="J197">
        <v>203</v>
      </c>
      <c r="K197" t="s">
        <v>268</v>
      </c>
      <c r="L197">
        <f>VLOOKUP(K197,Start!$A$15:$B$22,2)</f>
        <v>46</v>
      </c>
    </row>
    <row r="198" spans="1:13" ht="17">
      <c r="A198">
        <v>197</v>
      </c>
      <c r="B198" s="16" t="s">
        <v>25</v>
      </c>
      <c r="C198" s="16">
        <v>189</v>
      </c>
      <c r="D198" s="16"/>
      <c r="E198" s="16" t="s">
        <v>26</v>
      </c>
      <c r="F198" s="16" t="s">
        <v>26</v>
      </c>
      <c r="G198" s="17" t="s">
        <v>224</v>
      </c>
      <c r="H198" s="17">
        <v>186</v>
      </c>
      <c r="I198" t="s">
        <v>247</v>
      </c>
      <c r="J198">
        <v>373</v>
      </c>
      <c r="K198" t="s">
        <v>268</v>
      </c>
      <c r="L198">
        <f>VLOOKUP(K198,Start!$A$15:$B$22,2)</f>
        <v>46</v>
      </c>
    </row>
    <row r="199" spans="1:13" ht="17">
      <c r="A199">
        <v>198</v>
      </c>
      <c r="B199" s="16" t="s">
        <v>25</v>
      </c>
      <c r="C199" s="16">
        <v>190</v>
      </c>
      <c r="D199" s="16"/>
      <c r="E199" s="16" t="s">
        <v>26</v>
      </c>
      <c r="F199" s="16" t="s">
        <v>26</v>
      </c>
      <c r="G199" s="17" t="s">
        <v>225</v>
      </c>
      <c r="H199" s="17">
        <v>163</v>
      </c>
      <c r="I199" t="s">
        <v>247</v>
      </c>
      <c r="J199">
        <v>327</v>
      </c>
      <c r="K199" t="s">
        <v>276</v>
      </c>
      <c r="L199">
        <f>VLOOKUP(K199,Start!$A$15:$B$22,2)</f>
        <v>55</v>
      </c>
    </row>
    <row r="200" spans="1:13" ht="17">
      <c r="A200">
        <v>199</v>
      </c>
      <c r="B200" s="16" t="s">
        <v>25</v>
      </c>
      <c r="C200" s="16">
        <v>191</v>
      </c>
      <c r="D200" s="16"/>
      <c r="E200" s="16" t="s">
        <v>26</v>
      </c>
      <c r="F200" s="16" t="s">
        <v>26</v>
      </c>
      <c r="G200" s="17" t="s">
        <v>226</v>
      </c>
      <c r="H200" s="17">
        <v>104</v>
      </c>
      <c r="I200" t="s">
        <v>247</v>
      </c>
      <c r="J200">
        <v>209</v>
      </c>
      <c r="K200" t="s">
        <v>268</v>
      </c>
      <c r="L200">
        <f>VLOOKUP(K200,Start!$A$15:$B$22,2)</f>
        <v>46</v>
      </c>
    </row>
    <row r="201" spans="1:13" ht="17">
      <c r="A201">
        <v>200</v>
      </c>
      <c r="B201" s="16" t="s">
        <v>25</v>
      </c>
      <c r="C201" s="16">
        <v>192</v>
      </c>
      <c r="D201" s="16"/>
      <c r="E201" s="16" t="s">
        <v>26</v>
      </c>
      <c r="F201" s="16" t="s">
        <v>26</v>
      </c>
      <c r="G201" s="17" t="s">
        <v>227</v>
      </c>
      <c r="H201" s="17">
        <v>119</v>
      </c>
      <c r="I201" t="s">
        <v>247</v>
      </c>
      <c r="J201">
        <v>239</v>
      </c>
      <c r="K201" t="s">
        <v>268</v>
      </c>
      <c r="L201">
        <f>VLOOKUP(K201,Start!$A$15:$B$22,2)</f>
        <v>46</v>
      </c>
    </row>
    <row r="202" spans="1:13" ht="17">
      <c r="A202">
        <v>201</v>
      </c>
      <c r="B202" s="16" t="s">
        <v>25</v>
      </c>
      <c r="C202" s="16">
        <v>193</v>
      </c>
      <c r="D202" s="16"/>
      <c r="E202" s="16" t="s">
        <v>26</v>
      </c>
      <c r="F202" s="16" t="s">
        <v>26</v>
      </c>
      <c r="G202" s="17" t="s">
        <v>228</v>
      </c>
      <c r="H202" s="17">
        <v>78</v>
      </c>
      <c r="I202" t="s">
        <v>247</v>
      </c>
      <c r="J202">
        <v>157</v>
      </c>
      <c r="K202" t="s">
        <v>276</v>
      </c>
      <c r="L202">
        <f>VLOOKUP(K202,Start!$A$15:$B$22,2)</f>
        <v>55</v>
      </c>
    </row>
    <row r="203" spans="1:13" ht="17">
      <c r="A203">
        <v>202</v>
      </c>
      <c r="B203" s="16" t="s">
        <v>25</v>
      </c>
      <c r="C203" s="16">
        <v>194</v>
      </c>
      <c r="D203" s="16"/>
      <c r="E203" s="16" t="s">
        <v>26</v>
      </c>
      <c r="F203" s="16" t="s">
        <v>26</v>
      </c>
      <c r="G203" s="17" t="s">
        <v>229</v>
      </c>
      <c r="H203" s="17">
        <v>125</v>
      </c>
      <c r="I203" t="s">
        <v>247</v>
      </c>
      <c r="J203">
        <v>251</v>
      </c>
      <c r="K203" t="s">
        <v>277</v>
      </c>
      <c r="L203">
        <f>VLOOKUP(K203,Start!$A$15:$B$22,2)</f>
        <v>62</v>
      </c>
    </row>
    <row r="204" spans="1:13" ht="17">
      <c r="A204">
        <v>203</v>
      </c>
      <c r="B204" s="16" t="s">
        <v>25</v>
      </c>
      <c r="C204" s="16">
        <v>195</v>
      </c>
      <c r="D204" s="16"/>
      <c r="E204" s="16" t="s">
        <v>26</v>
      </c>
      <c r="F204" s="16" t="s">
        <v>26</v>
      </c>
      <c r="G204" s="17" t="s">
        <v>230</v>
      </c>
      <c r="H204" s="17">
        <v>178</v>
      </c>
      <c r="I204" t="s">
        <v>247</v>
      </c>
      <c r="J204">
        <v>357</v>
      </c>
      <c r="K204" t="s">
        <v>268</v>
      </c>
      <c r="L204">
        <f>VLOOKUP(K204,Start!$A$15:$B$22,2)</f>
        <v>46</v>
      </c>
    </row>
    <row r="205" spans="1:13" ht="17">
      <c r="A205">
        <v>204</v>
      </c>
      <c r="B205" s="16" t="s">
        <v>25</v>
      </c>
      <c r="C205" s="16">
        <v>196</v>
      </c>
      <c r="D205" s="16"/>
      <c r="E205" s="16" t="s">
        <v>26</v>
      </c>
      <c r="F205" s="16" t="s">
        <v>26</v>
      </c>
      <c r="G205" s="17" t="s">
        <v>231</v>
      </c>
      <c r="H205" s="17">
        <v>5</v>
      </c>
      <c r="I205" t="s">
        <v>247</v>
      </c>
      <c r="J205">
        <v>11</v>
      </c>
      <c r="K205" t="s">
        <v>268</v>
      </c>
      <c r="L205">
        <f>VLOOKUP(K205,Start!$A$15:$B$22,2)</f>
        <v>46</v>
      </c>
    </row>
    <row r="206" spans="1:13" ht="17">
      <c r="A206">
        <v>205</v>
      </c>
      <c r="B206" s="16" t="s">
        <v>25</v>
      </c>
      <c r="C206" s="16">
        <v>197</v>
      </c>
      <c r="D206" s="16"/>
      <c r="E206" s="16" t="s">
        <v>26</v>
      </c>
      <c r="F206" s="16" t="s">
        <v>26</v>
      </c>
      <c r="G206" s="17" t="s">
        <v>232</v>
      </c>
      <c r="H206" s="17">
        <v>197</v>
      </c>
      <c r="I206" t="s">
        <v>247</v>
      </c>
      <c r="J206">
        <v>395</v>
      </c>
      <c r="K206" t="s">
        <v>276</v>
      </c>
      <c r="L206">
        <f>VLOOKUP(K206,Start!$A$15:$B$22,2)</f>
        <v>55</v>
      </c>
    </row>
    <row r="207" spans="1:13" ht="17">
      <c r="A207">
        <v>206</v>
      </c>
      <c r="B207" s="16" t="s">
        <v>25</v>
      </c>
      <c r="C207" s="16">
        <v>198</v>
      </c>
      <c r="D207" s="16"/>
      <c r="E207" s="16" t="s">
        <v>26</v>
      </c>
      <c r="F207" s="16" t="s">
        <v>26</v>
      </c>
      <c r="G207" s="17" t="s">
        <v>233</v>
      </c>
      <c r="H207" s="17">
        <v>99</v>
      </c>
      <c r="I207" t="s">
        <v>247</v>
      </c>
      <c r="J207">
        <v>199</v>
      </c>
      <c r="K207" t="s">
        <v>277</v>
      </c>
      <c r="L207">
        <f>VLOOKUP(K207,Start!$A$15:$B$22,2)</f>
        <v>62</v>
      </c>
    </row>
    <row r="208" spans="1:13" ht="17">
      <c r="A208">
        <v>207</v>
      </c>
      <c r="B208" s="16" t="s">
        <v>25</v>
      </c>
      <c r="C208" s="16">
        <v>199</v>
      </c>
      <c r="D208" s="51"/>
      <c r="E208" s="16" t="s">
        <v>26</v>
      </c>
      <c r="F208" s="16" t="s">
        <v>26</v>
      </c>
      <c r="G208" s="17" t="s">
        <v>234</v>
      </c>
      <c r="H208" s="17">
        <v>120</v>
      </c>
      <c r="I208" t="s">
        <v>247</v>
      </c>
      <c r="J208">
        <v>241</v>
      </c>
      <c r="K208" t="s">
        <v>268</v>
      </c>
      <c r="L208">
        <f>VLOOKUP(K208,Start!$A$15:$B$22,2)</f>
        <v>46</v>
      </c>
    </row>
    <row r="209" spans="1:14" ht="17">
      <c r="A209">
        <v>208</v>
      </c>
      <c r="B209" s="16" t="s">
        <v>25</v>
      </c>
      <c r="C209" s="16">
        <v>200</v>
      </c>
      <c r="D209" s="51"/>
      <c r="E209" s="16"/>
      <c r="F209" s="16"/>
      <c r="G209" s="17" t="s">
        <v>235</v>
      </c>
      <c r="H209" s="17">
        <v>121</v>
      </c>
      <c r="I209" t="s">
        <v>247</v>
      </c>
      <c r="J209">
        <v>243</v>
      </c>
      <c r="K209" t="s">
        <v>268</v>
      </c>
      <c r="L209">
        <f>VLOOKUP(K209,Start!$A$15:$B$22,2)</f>
        <v>46</v>
      </c>
    </row>
    <row r="210" spans="1:14" ht="17">
      <c r="A210">
        <v>209</v>
      </c>
      <c r="B210" s="16" t="s">
        <v>25</v>
      </c>
      <c r="C210" s="16">
        <v>201</v>
      </c>
      <c r="D210" s="16"/>
      <c r="E210" s="16" t="s">
        <v>26</v>
      </c>
      <c r="F210" s="16" t="s">
        <v>26</v>
      </c>
      <c r="G210" s="17" t="s">
        <v>236</v>
      </c>
      <c r="H210" s="17">
        <v>177</v>
      </c>
      <c r="I210" t="s">
        <v>247</v>
      </c>
      <c r="J210">
        <v>355</v>
      </c>
      <c r="K210" t="s">
        <v>268</v>
      </c>
      <c r="L210">
        <f>VLOOKUP(K210,Start!$A$15:$B$22,2)</f>
        <v>46</v>
      </c>
    </row>
    <row r="211" spans="1:14" ht="17">
      <c r="A211">
        <v>210</v>
      </c>
      <c r="B211" s="16" t="s">
        <v>25</v>
      </c>
      <c r="C211" s="16">
        <v>202</v>
      </c>
      <c r="D211" s="16"/>
      <c r="E211" s="16" t="s">
        <v>26</v>
      </c>
      <c r="F211" s="16" t="s">
        <v>26</v>
      </c>
      <c r="G211" s="17" t="s">
        <v>237</v>
      </c>
      <c r="H211" s="17">
        <v>180</v>
      </c>
      <c r="I211" t="s">
        <v>247</v>
      </c>
      <c r="J211">
        <v>361</v>
      </c>
      <c r="K211" t="s">
        <v>276</v>
      </c>
      <c r="L211">
        <f>VLOOKUP(K211,Start!$A$15:$B$22,2)</f>
        <v>55</v>
      </c>
    </row>
    <row r="212" spans="1:14" ht="17">
      <c r="A212">
        <v>211</v>
      </c>
      <c r="B212" s="16" t="s">
        <v>25</v>
      </c>
      <c r="C212" s="16">
        <v>203</v>
      </c>
      <c r="D212" s="16"/>
      <c r="E212" s="16" t="s">
        <v>26</v>
      </c>
      <c r="F212" s="16" t="s">
        <v>26</v>
      </c>
      <c r="G212" s="17" t="s">
        <v>238</v>
      </c>
      <c r="H212" s="17">
        <v>66</v>
      </c>
      <c r="I212" t="s">
        <v>247</v>
      </c>
      <c r="J212">
        <v>133</v>
      </c>
      <c r="K212" t="s">
        <v>268</v>
      </c>
      <c r="L212">
        <f>VLOOKUP(K212,Start!$A$15:$B$22,2)</f>
        <v>46</v>
      </c>
    </row>
    <row r="213" spans="1:14" ht="17">
      <c r="A213">
        <v>212</v>
      </c>
      <c r="B213" s="16" t="s">
        <v>25</v>
      </c>
      <c r="C213" s="16">
        <v>204</v>
      </c>
      <c r="D213" s="16"/>
      <c r="E213" s="16" t="s">
        <v>26</v>
      </c>
      <c r="F213" s="16" t="s">
        <v>26</v>
      </c>
      <c r="G213" s="17" t="s">
        <v>239</v>
      </c>
      <c r="H213" s="17">
        <v>122</v>
      </c>
      <c r="I213" t="s">
        <v>247</v>
      </c>
      <c r="J213">
        <v>245</v>
      </c>
      <c r="K213" t="s">
        <v>268</v>
      </c>
      <c r="L213">
        <f>VLOOKUP(K213,Start!$A$15:$B$22,2)</f>
        <v>46</v>
      </c>
    </row>
    <row r="214" spans="1:14" ht="17">
      <c r="A214">
        <v>213</v>
      </c>
      <c r="B214" s="16" t="s">
        <v>25</v>
      </c>
      <c r="C214" s="16">
        <v>205</v>
      </c>
      <c r="D214" s="16"/>
      <c r="E214" s="16" t="s">
        <v>26</v>
      </c>
      <c r="F214" s="16" t="s">
        <v>26</v>
      </c>
      <c r="G214" s="17" t="s">
        <v>240</v>
      </c>
      <c r="H214" s="17">
        <v>130</v>
      </c>
      <c r="I214" t="s">
        <v>247</v>
      </c>
      <c r="J214">
        <v>261</v>
      </c>
      <c r="K214" t="s">
        <v>268</v>
      </c>
      <c r="L214">
        <f>VLOOKUP(K214,Start!$A$15:$B$22,2)</f>
        <v>46</v>
      </c>
    </row>
    <row r="215" spans="1:14" ht="17">
      <c r="A215">
        <v>214</v>
      </c>
      <c r="B215" s="16" t="s">
        <v>25</v>
      </c>
      <c r="C215" s="16">
        <v>206</v>
      </c>
      <c r="D215" s="16"/>
      <c r="E215" s="16" t="s">
        <v>26</v>
      </c>
      <c r="F215" s="16" t="s">
        <v>26</v>
      </c>
      <c r="G215" s="17" t="s">
        <v>241</v>
      </c>
      <c r="H215" s="17">
        <v>20</v>
      </c>
      <c r="I215" t="s">
        <v>247</v>
      </c>
      <c r="J215">
        <v>41</v>
      </c>
      <c r="K215" t="s">
        <v>268</v>
      </c>
      <c r="L215">
        <f>VLOOKUP(K215,Start!$A$15:$B$22,2)</f>
        <v>46</v>
      </c>
    </row>
    <row r="216" spans="1:14" ht="17">
      <c r="A216">
        <v>215</v>
      </c>
      <c r="B216" s="16" t="s">
        <v>25</v>
      </c>
      <c r="C216" s="16">
        <v>207</v>
      </c>
      <c r="D216" s="16"/>
      <c r="E216" s="16" t="s">
        <v>26</v>
      </c>
      <c r="F216" s="16" t="s">
        <v>26</v>
      </c>
      <c r="G216" s="17" t="s">
        <v>242</v>
      </c>
      <c r="H216" s="17">
        <v>142</v>
      </c>
      <c r="I216" t="s">
        <v>247</v>
      </c>
      <c r="J216">
        <v>285</v>
      </c>
      <c r="K216" t="s">
        <v>277</v>
      </c>
      <c r="L216">
        <f>VLOOKUP(K216,Start!$A$15:$B$22,2)</f>
        <v>62</v>
      </c>
    </row>
    <row r="217" spans="1:14" ht="17">
      <c r="A217">
        <v>216</v>
      </c>
      <c r="B217" s="16" t="s">
        <v>25</v>
      </c>
      <c r="C217" s="16">
        <v>208</v>
      </c>
      <c r="D217" s="16"/>
      <c r="E217" s="16" t="s">
        <v>26</v>
      </c>
      <c r="F217" s="16" t="s">
        <v>26</v>
      </c>
      <c r="G217" s="17" t="s">
        <v>243</v>
      </c>
      <c r="H217" s="17">
        <v>92</v>
      </c>
      <c r="I217" t="s">
        <v>247</v>
      </c>
      <c r="J217">
        <v>185</v>
      </c>
      <c r="K217" t="s">
        <v>268</v>
      </c>
      <c r="L217">
        <f>VLOOKUP(K217,Start!$A$15:$B$22,2)</f>
        <v>46</v>
      </c>
    </row>
    <row r="218" spans="1:14" ht="17">
      <c r="A218">
        <v>217</v>
      </c>
      <c r="B218" s="16" t="s">
        <v>25</v>
      </c>
      <c r="C218" s="16">
        <v>209</v>
      </c>
      <c r="D218" s="16"/>
      <c r="E218" s="16" t="s">
        <v>26</v>
      </c>
      <c r="F218" s="16" t="s">
        <v>26</v>
      </c>
      <c r="G218" s="17" t="s">
        <v>244</v>
      </c>
      <c r="H218" s="17">
        <v>87</v>
      </c>
      <c r="I218" t="s">
        <v>247</v>
      </c>
      <c r="J218">
        <v>175</v>
      </c>
      <c r="K218" t="s">
        <v>268</v>
      </c>
      <c r="L218">
        <f>VLOOKUP(K218,Start!$A$15:$B$22,2)</f>
        <v>46</v>
      </c>
    </row>
    <row r="219" spans="1:14" ht="17">
      <c r="A219">
        <v>218</v>
      </c>
      <c r="B219" s="16" t="s">
        <v>25</v>
      </c>
      <c r="C219" s="52">
        <v>210</v>
      </c>
      <c r="D219" s="54">
        <v>10</v>
      </c>
      <c r="E219" s="16" t="s">
        <v>26</v>
      </c>
      <c r="F219" s="16" t="s">
        <v>26</v>
      </c>
      <c r="G219" s="17" t="s">
        <v>245</v>
      </c>
      <c r="H219" s="17">
        <v>157</v>
      </c>
      <c r="I219" t="s">
        <v>247</v>
      </c>
      <c r="J219" s="7">
        <v>315</v>
      </c>
      <c r="K219" s="7" t="s">
        <v>268</v>
      </c>
      <c r="L219">
        <f>VLOOKUP(K219,Start!$A$15:$B$22,2)</f>
        <v>46</v>
      </c>
      <c r="N219" t="s">
        <v>280</v>
      </c>
    </row>
    <row r="220" spans="1:14" ht="17">
      <c r="A220">
        <v>219</v>
      </c>
      <c r="B220" s="51"/>
      <c r="C220" s="52"/>
      <c r="D220" s="54"/>
      <c r="E220" s="16"/>
      <c r="F220" s="16"/>
      <c r="G220" s="17" t="s">
        <v>246</v>
      </c>
      <c r="H220" s="17">
        <v>158</v>
      </c>
      <c r="I220" t="s">
        <v>247</v>
      </c>
      <c r="J220" s="7">
        <v>317</v>
      </c>
      <c r="K220" s="7" t="s">
        <v>281</v>
      </c>
      <c r="L220">
        <f>VLOOKUP(K220,Start!$A$15:$B$22,2)</f>
        <v>29</v>
      </c>
    </row>
    <row r="221" spans="1:14">
      <c r="B221" s="41"/>
      <c r="C221"/>
      <c r="D221"/>
      <c r="E221"/>
      <c r="F221"/>
      <c r="L221">
        <f>SUM(L2:L220)</f>
        <v>10000</v>
      </c>
    </row>
    <row r="222" spans="1:14">
      <c r="B222" s="41"/>
      <c r="C222"/>
      <c r="D222"/>
      <c r="E222"/>
      <c r="F222"/>
    </row>
    <row r="225" spans="2:4">
      <c r="B225" s="13" t="s">
        <v>250</v>
      </c>
      <c r="C225" s="13">
        <v>214</v>
      </c>
    </row>
    <row r="226" spans="2:4">
      <c r="B226" s="13" t="s">
        <v>251</v>
      </c>
      <c r="C226">
        <f>COUNTIF(M2:M220,"Logeerkamer")</f>
        <v>5</v>
      </c>
    </row>
    <row r="227" spans="2:4">
      <c r="B227" s="13" t="s">
        <v>254</v>
      </c>
      <c r="C227" s="15">
        <f>C225+C226</f>
        <v>219</v>
      </c>
      <c r="D227" s="15"/>
    </row>
    <row r="228" spans="2:4">
      <c r="B228" s="13" t="s">
        <v>255</v>
      </c>
      <c r="C228">
        <f>COUNTIF(N1:N220,"A/D")</f>
        <v>10</v>
      </c>
    </row>
    <row r="229" spans="2:4">
      <c r="B229" s="13" t="s">
        <v>252</v>
      </c>
      <c r="C229" s="15">
        <f>C227-C228</f>
        <v>209</v>
      </c>
      <c r="D229" s="15"/>
    </row>
  </sheetData>
  <sortState xmlns:xlrd2="http://schemas.microsoft.com/office/spreadsheetml/2017/richdata2" ref="A2:N221">
    <sortCondition ref="A1:A221"/>
  </sortState>
  <mergeCells count="1">
    <mergeCell ref="B182:B183"/>
  </mergeCells>
  <pageMargins left="0.7" right="0.7" top="0.75" bottom="0.75" header="0.3" footer="0.3"/>
  <pageSetup paperSize="9" orientation="portrait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Werkbladen</vt:lpstr>
      </vt:variant>
      <vt:variant>
        <vt:i4>5</vt:i4>
      </vt:variant>
      <vt:variant>
        <vt:lpstr>Benoemde bereiken</vt:lpstr>
      </vt:variant>
      <vt:variant>
        <vt:i4>1</vt:i4>
      </vt:variant>
    </vt:vector>
  </HeadingPairs>
  <TitlesOfParts>
    <vt:vector size="6" baseType="lpstr">
      <vt:lpstr>Start</vt:lpstr>
      <vt:lpstr>2027 Begroting posten</vt:lpstr>
      <vt:lpstr>rubriceren nieuw</vt:lpstr>
      <vt:lpstr>Overzicht per jaar</vt:lpstr>
      <vt:lpstr>Eigendomsoverzicht (2)</vt:lpstr>
      <vt:lpstr>'2027 Begroting posten'!Afdrukbereik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harrie boelens</dc:creator>
  <cp:lastModifiedBy>harrie boelens</cp:lastModifiedBy>
  <cp:lastPrinted>2024-01-03T11:56:42Z</cp:lastPrinted>
  <dcterms:created xsi:type="dcterms:W3CDTF">2021-05-02T09:09:47Z</dcterms:created>
  <dcterms:modified xsi:type="dcterms:W3CDTF">2026-08-30T13:06:39Z</dcterms:modified>
</cp:coreProperties>
</file>